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9125" windowHeight="11520" tabRatio="777"/>
  </bookViews>
  <sheets>
    <sheet name="Port P45CNW" sheetId="4" r:id="rId1"/>
    <sheet name="Port 2017 IRP" sheetId="13" r:id="rId2"/>
    <sheet name="Port Graphs" sheetId="2" r:id="rId3"/>
    <sheet name="Gas CF" sheetId="14" r:id="rId4"/>
    <sheet name="Emissions" sheetId="15" r:id="rId5"/>
  </sheets>
  <externalReferences>
    <externalReference r:id="rId6"/>
  </externalReferences>
  <definedNames>
    <definedName name="Discount_Rate">[1]ImportData!$H$5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" i="4" l="1"/>
  <c r="I21" i="15" l="1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I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H5" i="15"/>
  <c r="H4" i="15"/>
  <c r="AL24" i="14" l="1"/>
  <c r="AK24" i="14"/>
  <c r="AL23" i="14"/>
  <c r="AK23" i="14"/>
  <c r="AL22" i="14"/>
  <c r="AM22" i="14" s="1"/>
  <c r="AK22" i="14"/>
  <c r="AL21" i="14"/>
  <c r="AK21" i="14"/>
  <c r="AL20" i="14"/>
  <c r="AK20" i="14"/>
  <c r="AL19" i="14"/>
  <c r="AM19" i="14" s="1"/>
  <c r="AK19" i="14"/>
  <c r="AL18" i="14"/>
  <c r="AK18" i="14"/>
  <c r="AL17" i="14"/>
  <c r="AK17" i="14"/>
  <c r="AL16" i="14"/>
  <c r="AM16" i="14" s="1"/>
  <c r="AK16" i="14"/>
  <c r="AL15" i="14"/>
  <c r="AK15" i="14"/>
  <c r="AL14" i="14"/>
  <c r="AK14" i="14"/>
  <c r="AL13" i="14"/>
  <c r="AM13" i="14" s="1"/>
  <c r="AK13" i="14"/>
  <c r="AL12" i="14"/>
  <c r="AK12" i="14"/>
  <c r="AJ13" i="14"/>
  <c r="AJ14" i="14" s="1"/>
  <c r="AJ15" i="14" s="1"/>
  <c r="AJ16" i="14" s="1"/>
  <c r="AJ17" i="14" s="1"/>
  <c r="AJ18" i="14" s="1"/>
  <c r="AJ19" i="14" s="1"/>
  <c r="AJ20" i="14" s="1"/>
  <c r="AJ21" i="14" s="1"/>
  <c r="AJ22" i="14" s="1"/>
  <c r="AJ23" i="14" s="1"/>
  <c r="AJ24" i="14" s="1"/>
  <c r="AH24" i="14"/>
  <c r="AE24" i="14"/>
  <c r="AH23" i="14"/>
  <c r="AC24" i="14"/>
  <c r="Z24" i="14"/>
  <c r="AC23" i="14"/>
  <c r="X24" i="14"/>
  <c r="U24" i="14"/>
  <c r="X23" i="14"/>
  <c r="S24" i="14"/>
  <c r="S23" i="14"/>
  <c r="P24" i="14"/>
  <c r="N24" i="14"/>
  <c r="N23" i="14"/>
  <c r="N22" i="14"/>
  <c r="N21" i="14"/>
  <c r="N20" i="14"/>
  <c r="N19" i="14"/>
  <c r="N18" i="14"/>
  <c r="N17" i="14"/>
  <c r="K17" i="14"/>
  <c r="K18" i="14" s="1"/>
  <c r="K19" i="14" s="1"/>
  <c r="K20" i="14" s="1"/>
  <c r="K21" i="14" s="1"/>
  <c r="K22" i="14" s="1"/>
  <c r="K23" i="14" s="1"/>
  <c r="K24" i="14" s="1"/>
  <c r="N16" i="14"/>
  <c r="I24" i="14"/>
  <c r="I23" i="14"/>
  <c r="I22" i="14"/>
  <c r="I21" i="14"/>
  <c r="I20" i="14"/>
  <c r="I19" i="14"/>
  <c r="I18" i="14"/>
  <c r="I17" i="14"/>
  <c r="F17" i="14"/>
  <c r="F18" i="14" s="1"/>
  <c r="F19" i="14" s="1"/>
  <c r="F20" i="14" s="1"/>
  <c r="F21" i="14" s="1"/>
  <c r="F22" i="14" s="1"/>
  <c r="F23" i="14" s="1"/>
  <c r="F24" i="14" s="1"/>
  <c r="I16" i="14"/>
  <c r="D23" i="14"/>
  <c r="D24" i="14"/>
  <c r="D22" i="14"/>
  <c r="D21" i="14"/>
  <c r="D20" i="14"/>
  <c r="D19" i="14"/>
  <c r="D18" i="14"/>
  <c r="D17" i="14"/>
  <c r="D16" i="14"/>
  <c r="D15" i="14"/>
  <c r="D14" i="14"/>
  <c r="A13" i="14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D13" i="14"/>
  <c r="D12" i="14"/>
  <c r="M5" i="14"/>
  <c r="M6" i="14"/>
  <c r="L6" i="14"/>
  <c r="L5" i="14"/>
  <c r="I5" i="14"/>
  <c r="I6" i="14"/>
  <c r="D6" i="14"/>
  <c r="D5" i="14"/>
  <c r="AM14" i="14" l="1"/>
  <c r="AM17" i="14"/>
  <c r="AM20" i="14"/>
  <c r="AM23" i="14"/>
  <c r="AM15" i="14"/>
  <c r="AM12" i="14"/>
  <c r="AM18" i="14"/>
  <c r="AM21" i="14"/>
  <c r="AM24" i="14"/>
  <c r="N6" i="14"/>
  <c r="N5" i="14"/>
  <c r="B27" i="4" l="1"/>
  <c r="B28" i="4" s="1"/>
  <c r="X104" i="4"/>
  <c r="B22" i="4" l="1"/>
  <c r="B21" i="4"/>
  <c r="B25" i="4" l="1"/>
  <c r="E55" i="13" l="1"/>
  <c r="F55" i="13" s="1"/>
  <c r="G55" i="13" s="1"/>
  <c r="H55" i="13" s="1"/>
  <c r="I55" i="13" s="1"/>
  <c r="J55" i="13" s="1"/>
  <c r="K55" i="13" s="1"/>
  <c r="L55" i="13" s="1"/>
  <c r="M55" i="13" s="1"/>
  <c r="N55" i="13" s="1"/>
  <c r="O55" i="13" s="1"/>
  <c r="P55" i="13" s="1"/>
  <c r="Q55" i="13" s="1"/>
  <c r="R55" i="13" s="1"/>
  <c r="S55" i="13" s="1"/>
  <c r="T55" i="13" s="1"/>
  <c r="U55" i="13" s="1"/>
  <c r="V55" i="13" s="1"/>
  <c r="W55" i="13" s="1"/>
  <c r="X55" i="13" s="1"/>
  <c r="Y55" i="13" s="1"/>
  <c r="E50" i="13"/>
  <c r="F50" i="13" s="1"/>
  <c r="G50" i="13" s="1"/>
  <c r="H50" i="13" s="1"/>
  <c r="I50" i="13" s="1"/>
  <c r="J50" i="13" s="1"/>
  <c r="K50" i="13" s="1"/>
  <c r="L50" i="13" s="1"/>
  <c r="M50" i="13" s="1"/>
  <c r="N50" i="13" s="1"/>
  <c r="O50" i="13" s="1"/>
  <c r="P50" i="13" s="1"/>
  <c r="Q50" i="13" s="1"/>
  <c r="R50" i="13" s="1"/>
  <c r="S50" i="13" s="1"/>
  <c r="T50" i="13" s="1"/>
  <c r="U50" i="13" s="1"/>
  <c r="V50" i="13" s="1"/>
  <c r="W50" i="13" s="1"/>
  <c r="X50" i="13" s="1"/>
  <c r="Y50" i="13" s="1"/>
  <c r="E46" i="13"/>
  <c r="F46" i="13" s="1"/>
  <c r="G46" i="13" s="1"/>
  <c r="H46" i="13" s="1"/>
  <c r="I46" i="13" s="1"/>
  <c r="J46" i="13" s="1"/>
  <c r="K46" i="13" s="1"/>
  <c r="L46" i="13" s="1"/>
  <c r="M46" i="13" s="1"/>
  <c r="N46" i="13" s="1"/>
  <c r="O46" i="13" s="1"/>
  <c r="P46" i="13" s="1"/>
  <c r="Q46" i="13" s="1"/>
  <c r="R46" i="13" s="1"/>
  <c r="S46" i="13" s="1"/>
  <c r="T46" i="13" s="1"/>
  <c r="U46" i="13" s="1"/>
  <c r="V46" i="13" s="1"/>
  <c r="W46" i="13" s="1"/>
  <c r="X46" i="13" s="1"/>
  <c r="Y46" i="13" s="1"/>
  <c r="F39" i="13"/>
  <c r="G39" i="13" s="1"/>
  <c r="H39" i="13" s="1"/>
  <c r="I39" i="13" s="1"/>
  <c r="J39" i="13" s="1"/>
  <c r="K39" i="13" s="1"/>
  <c r="L39" i="13" s="1"/>
  <c r="M39" i="13" s="1"/>
  <c r="N39" i="13" s="1"/>
  <c r="O39" i="13" s="1"/>
  <c r="P39" i="13" s="1"/>
  <c r="Q39" i="13" s="1"/>
  <c r="R39" i="13" s="1"/>
  <c r="S39" i="13" s="1"/>
  <c r="T39" i="13" s="1"/>
  <c r="U39" i="13" s="1"/>
  <c r="V39" i="13" s="1"/>
  <c r="W39" i="13" s="1"/>
  <c r="X39" i="13" s="1"/>
  <c r="Y39" i="13" s="1"/>
  <c r="E39" i="13"/>
  <c r="E33" i="13"/>
  <c r="F33" i="13" s="1"/>
  <c r="G33" i="13" s="1"/>
  <c r="H33" i="13" s="1"/>
  <c r="I33" i="13" s="1"/>
  <c r="J33" i="13" s="1"/>
  <c r="K33" i="13" s="1"/>
  <c r="L33" i="13" s="1"/>
  <c r="M33" i="13" s="1"/>
  <c r="N33" i="13" s="1"/>
  <c r="O33" i="13" s="1"/>
  <c r="P33" i="13" s="1"/>
  <c r="Q33" i="13" s="1"/>
  <c r="R33" i="13" s="1"/>
  <c r="S33" i="13" s="1"/>
  <c r="T33" i="13" s="1"/>
  <c r="U33" i="13" s="1"/>
  <c r="V33" i="13" s="1"/>
  <c r="W33" i="13" s="1"/>
  <c r="X33" i="13" s="1"/>
  <c r="Y33" i="13" s="1"/>
  <c r="E23" i="13"/>
  <c r="F23" i="13" s="1"/>
  <c r="G23" i="13" s="1"/>
  <c r="H23" i="13" s="1"/>
  <c r="I23" i="13" s="1"/>
  <c r="J23" i="13" s="1"/>
  <c r="K23" i="13" s="1"/>
  <c r="L23" i="13" s="1"/>
  <c r="M23" i="13" s="1"/>
  <c r="N23" i="13" s="1"/>
  <c r="O23" i="13" s="1"/>
  <c r="P23" i="13" s="1"/>
  <c r="Q23" i="13" s="1"/>
  <c r="R23" i="13" s="1"/>
  <c r="S23" i="13" s="1"/>
  <c r="T23" i="13" s="1"/>
  <c r="U23" i="13" s="1"/>
  <c r="V23" i="13" s="1"/>
  <c r="W23" i="13" s="1"/>
  <c r="X23" i="13" s="1"/>
  <c r="Y23" i="13" s="1"/>
  <c r="E11" i="13"/>
  <c r="F11" i="13" s="1"/>
  <c r="G11" i="13" s="1"/>
  <c r="H11" i="13" s="1"/>
  <c r="I11" i="13" s="1"/>
  <c r="J11" i="13" s="1"/>
  <c r="K11" i="13" s="1"/>
  <c r="L11" i="13" s="1"/>
  <c r="M11" i="13" s="1"/>
  <c r="N11" i="13" s="1"/>
  <c r="O11" i="13" s="1"/>
  <c r="P11" i="13" s="1"/>
  <c r="Q11" i="13" s="1"/>
  <c r="R11" i="13" s="1"/>
  <c r="S11" i="13" s="1"/>
  <c r="T11" i="13" s="1"/>
  <c r="U11" i="13" s="1"/>
  <c r="V11" i="13" s="1"/>
  <c r="W11" i="13" s="1"/>
  <c r="X11" i="13" s="1"/>
  <c r="Y11" i="13" s="1"/>
  <c r="F7" i="13"/>
  <c r="G7" i="13" s="1"/>
  <c r="H7" i="13" s="1"/>
  <c r="I7" i="13" s="1"/>
  <c r="J7" i="13" s="1"/>
  <c r="K7" i="13" s="1"/>
  <c r="L7" i="13" s="1"/>
  <c r="M7" i="13" s="1"/>
  <c r="N7" i="13" s="1"/>
  <c r="O7" i="13" s="1"/>
  <c r="P7" i="13" s="1"/>
  <c r="Q7" i="13" s="1"/>
  <c r="R7" i="13" s="1"/>
  <c r="S7" i="13" s="1"/>
  <c r="T7" i="13" s="1"/>
  <c r="U7" i="13" s="1"/>
  <c r="V7" i="13" s="1"/>
  <c r="W7" i="13" s="1"/>
  <c r="X7" i="13" s="1"/>
  <c r="Y7" i="13" s="1"/>
  <c r="E7" i="13"/>
  <c r="E4" i="13"/>
  <c r="F4" i="13" s="1"/>
  <c r="G4" i="13" s="1"/>
  <c r="H4" i="13" s="1"/>
  <c r="I4" i="13" s="1"/>
  <c r="J4" i="13" s="1"/>
  <c r="K4" i="13" s="1"/>
  <c r="L4" i="13" s="1"/>
  <c r="M4" i="13" s="1"/>
  <c r="N4" i="13" s="1"/>
  <c r="O4" i="13" s="1"/>
  <c r="P4" i="13" s="1"/>
  <c r="Q4" i="13" s="1"/>
  <c r="R4" i="13" s="1"/>
  <c r="S4" i="13" s="1"/>
  <c r="T4" i="13" s="1"/>
  <c r="U4" i="13" s="1"/>
  <c r="V4" i="13" s="1"/>
  <c r="W4" i="13" s="1"/>
  <c r="X4" i="13" s="1"/>
  <c r="Y4" i="13" s="1"/>
  <c r="W57" i="13"/>
  <c r="V57" i="13"/>
  <c r="U57" i="13"/>
  <c r="T57" i="13"/>
  <c r="S57" i="13"/>
  <c r="R57" i="13"/>
  <c r="Q57" i="13"/>
  <c r="P57" i="13"/>
  <c r="O57" i="13"/>
  <c r="N57" i="13"/>
  <c r="M57" i="13"/>
  <c r="L57" i="13"/>
  <c r="K57" i="13"/>
  <c r="J57" i="13"/>
  <c r="I57" i="13"/>
  <c r="H57" i="13"/>
  <c r="G57" i="13"/>
  <c r="F57" i="13"/>
  <c r="E57" i="13"/>
  <c r="D57" i="13"/>
  <c r="W56" i="13"/>
  <c r="V56" i="13"/>
  <c r="U56" i="13"/>
  <c r="T56" i="13"/>
  <c r="S56" i="13"/>
  <c r="R56" i="13"/>
  <c r="Q56" i="13"/>
  <c r="P56" i="13"/>
  <c r="O56" i="13"/>
  <c r="N56" i="13"/>
  <c r="M56" i="13"/>
  <c r="L56" i="13"/>
  <c r="K56" i="13"/>
  <c r="J56" i="13"/>
  <c r="I56" i="13"/>
  <c r="H56" i="13"/>
  <c r="G56" i="13"/>
  <c r="F56" i="13"/>
  <c r="E56" i="13"/>
  <c r="D56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D52" i="13" s="1"/>
  <c r="E52" i="13" s="1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F51" i="13" s="1"/>
  <c r="G51" i="13" s="1"/>
  <c r="E47" i="13"/>
  <c r="D4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D43" i="13" s="1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D42" i="13" s="1"/>
  <c r="E42" i="13" s="1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D41" i="13" s="1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D40" i="13" s="1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D29" i="13" s="1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D28" i="13" s="1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D27" i="13" s="1"/>
  <c r="E27" i="13" s="1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D26" i="13" s="1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D25" i="13" s="1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D24" i="13" s="1"/>
  <c r="E24" i="13" s="1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D8" i="13" s="1"/>
  <c r="E25" i="13" l="1"/>
  <c r="F25" i="13" s="1"/>
  <c r="G25" i="13" s="1"/>
  <c r="H25" i="13" s="1"/>
  <c r="I25" i="13" s="1"/>
  <c r="J25" i="13" s="1"/>
  <c r="K25" i="13" s="1"/>
  <c r="L25" i="13" s="1"/>
  <c r="M25" i="13" s="1"/>
  <c r="N25" i="13" s="1"/>
  <c r="O25" i="13" s="1"/>
  <c r="P25" i="13" s="1"/>
  <c r="Q25" i="13" s="1"/>
  <c r="R25" i="13" s="1"/>
  <c r="S25" i="13" s="1"/>
  <c r="T25" i="13" s="1"/>
  <c r="U25" i="13" s="1"/>
  <c r="V25" i="13" s="1"/>
  <c r="W25" i="13" s="1"/>
  <c r="E28" i="13"/>
  <c r="F28" i="13" s="1"/>
  <c r="G28" i="13" s="1"/>
  <c r="H28" i="13" s="1"/>
  <c r="I28" i="13" s="1"/>
  <c r="J28" i="13" s="1"/>
  <c r="K28" i="13" s="1"/>
  <c r="L28" i="13" s="1"/>
  <c r="M28" i="13" s="1"/>
  <c r="N28" i="13" s="1"/>
  <c r="O28" i="13" s="1"/>
  <c r="P28" i="13" s="1"/>
  <c r="Q28" i="13" s="1"/>
  <c r="R28" i="13" s="1"/>
  <c r="S28" i="13" s="1"/>
  <c r="T28" i="13" s="1"/>
  <c r="U28" i="13" s="1"/>
  <c r="V28" i="13" s="1"/>
  <c r="W28" i="13" s="1"/>
  <c r="D30" i="13"/>
  <c r="D59" i="13" s="1"/>
  <c r="E40" i="13"/>
  <c r="F40" i="13" s="1"/>
  <c r="G40" i="13" s="1"/>
  <c r="H40" i="13" s="1"/>
  <c r="I40" i="13" s="1"/>
  <c r="J40" i="13" s="1"/>
  <c r="K40" i="13" s="1"/>
  <c r="L40" i="13" s="1"/>
  <c r="M40" i="13" s="1"/>
  <c r="N40" i="13" s="1"/>
  <c r="O40" i="13" s="1"/>
  <c r="P40" i="13" s="1"/>
  <c r="Q40" i="13" s="1"/>
  <c r="R40" i="13" s="1"/>
  <c r="S40" i="13" s="1"/>
  <c r="T40" i="13" s="1"/>
  <c r="U40" i="13" s="1"/>
  <c r="V40" i="13" s="1"/>
  <c r="W40" i="13" s="1"/>
  <c r="E43" i="13"/>
  <c r="F43" i="13" s="1"/>
  <c r="G43" i="13" s="1"/>
  <c r="H43" i="13" s="1"/>
  <c r="I43" i="13" s="1"/>
  <c r="J43" i="13" s="1"/>
  <c r="K43" i="13" s="1"/>
  <c r="L43" i="13" s="1"/>
  <c r="M43" i="13" s="1"/>
  <c r="N43" i="13" s="1"/>
  <c r="O43" i="13" s="1"/>
  <c r="P43" i="13" s="1"/>
  <c r="Q43" i="13" s="1"/>
  <c r="R43" i="13" s="1"/>
  <c r="S43" i="13" s="1"/>
  <c r="T43" i="13" s="1"/>
  <c r="U43" i="13" s="1"/>
  <c r="V43" i="13" s="1"/>
  <c r="W43" i="13" s="1"/>
  <c r="G60" i="13"/>
  <c r="F24" i="13"/>
  <c r="G24" i="13" s="1"/>
  <c r="H24" i="13" s="1"/>
  <c r="I24" i="13" s="1"/>
  <c r="J24" i="13" s="1"/>
  <c r="K24" i="13" s="1"/>
  <c r="L24" i="13" s="1"/>
  <c r="M24" i="13" s="1"/>
  <c r="N24" i="13" s="1"/>
  <c r="O24" i="13" s="1"/>
  <c r="P24" i="13" s="1"/>
  <c r="Q24" i="13" s="1"/>
  <c r="R24" i="13" s="1"/>
  <c r="S24" i="13" s="1"/>
  <c r="T24" i="13" s="1"/>
  <c r="U24" i="13" s="1"/>
  <c r="V24" i="13" s="1"/>
  <c r="W24" i="13" s="1"/>
  <c r="F27" i="13"/>
  <c r="G27" i="13" s="1"/>
  <c r="H27" i="13" s="1"/>
  <c r="I27" i="13" s="1"/>
  <c r="J27" i="13" s="1"/>
  <c r="K27" i="13" s="1"/>
  <c r="L27" i="13" s="1"/>
  <c r="M27" i="13" s="1"/>
  <c r="N27" i="13" s="1"/>
  <c r="O27" i="13" s="1"/>
  <c r="P27" i="13" s="1"/>
  <c r="Q27" i="13" s="1"/>
  <c r="R27" i="13" s="1"/>
  <c r="S27" i="13" s="1"/>
  <c r="T27" i="13" s="1"/>
  <c r="U27" i="13" s="1"/>
  <c r="V27" i="13" s="1"/>
  <c r="W27" i="13" s="1"/>
  <c r="F42" i="13"/>
  <c r="G42" i="13" s="1"/>
  <c r="H42" i="13" s="1"/>
  <c r="I42" i="13" s="1"/>
  <c r="J42" i="13" s="1"/>
  <c r="K42" i="13" s="1"/>
  <c r="L42" i="13" s="1"/>
  <c r="M42" i="13" s="1"/>
  <c r="N42" i="13" s="1"/>
  <c r="O42" i="13" s="1"/>
  <c r="P42" i="13" s="1"/>
  <c r="Q42" i="13" s="1"/>
  <c r="R42" i="13" s="1"/>
  <c r="S42" i="13" s="1"/>
  <c r="T42" i="13" s="1"/>
  <c r="U42" i="13" s="1"/>
  <c r="V42" i="13" s="1"/>
  <c r="W42" i="13" s="1"/>
  <c r="F52" i="13"/>
  <c r="G52" i="13" s="1"/>
  <c r="H52" i="13" s="1"/>
  <c r="I52" i="13" s="1"/>
  <c r="J52" i="13" s="1"/>
  <c r="K52" i="13" s="1"/>
  <c r="L52" i="13" s="1"/>
  <c r="M52" i="13" s="1"/>
  <c r="N52" i="13" s="1"/>
  <c r="O52" i="13" s="1"/>
  <c r="P52" i="13" s="1"/>
  <c r="Q52" i="13" s="1"/>
  <c r="R52" i="13" s="1"/>
  <c r="S52" i="13" s="1"/>
  <c r="T52" i="13" s="1"/>
  <c r="U52" i="13" s="1"/>
  <c r="V52" i="13" s="1"/>
  <c r="W52" i="13" s="1"/>
  <c r="E26" i="13"/>
  <c r="F26" i="13" s="1"/>
  <c r="G26" i="13" s="1"/>
  <c r="H26" i="13" s="1"/>
  <c r="I26" i="13" s="1"/>
  <c r="J26" i="13" s="1"/>
  <c r="K26" i="13" s="1"/>
  <c r="L26" i="13" s="1"/>
  <c r="M26" i="13" s="1"/>
  <c r="N26" i="13" s="1"/>
  <c r="O26" i="13" s="1"/>
  <c r="P26" i="13" s="1"/>
  <c r="Q26" i="13" s="1"/>
  <c r="R26" i="13" s="1"/>
  <c r="S26" i="13" s="1"/>
  <c r="T26" i="13" s="1"/>
  <c r="U26" i="13" s="1"/>
  <c r="V26" i="13" s="1"/>
  <c r="W26" i="13" s="1"/>
  <c r="E29" i="13"/>
  <c r="F29" i="13" s="1"/>
  <c r="G29" i="13" s="1"/>
  <c r="H29" i="13" s="1"/>
  <c r="I29" i="13" s="1"/>
  <c r="J29" i="13" s="1"/>
  <c r="K29" i="13" s="1"/>
  <c r="L29" i="13" s="1"/>
  <c r="M29" i="13" s="1"/>
  <c r="N29" i="13" s="1"/>
  <c r="O29" i="13" s="1"/>
  <c r="P29" i="13" s="1"/>
  <c r="Q29" i="13" s="1"/>
  <c r="R29" i="13" s="1"/>
  <c r="S29" i="13" s="1"/>
  <c r="T29" i="13" s="1"/>
  <c r="U29" i="13" s="1"/>
  <c r="V29" i="13" s="1"/>
  <c r="W29" i="13" s="1"/>
  <c r="E41" i="13"/>
  <c r="F41" i="13" s="1"/>
  <c r="G41" i="13" s="1"/>
  <c r="H41" i="13" s="1"/>
  <c r="I41" i="13" s="1"/>
  <c r="J41" i="13" s="1"/>
  <c r="K41" i="13" s="1"/>
  <c r="L41" i="13" s="1"/>
  <c r="M41" i="13" s="1"/>
  <c r="N41" i="13" s="1"/>
  <c r="O41" i="13" s="1"/>
  <c r="P41" i="13" s="1"/>
  <c r="Q41" i="13" s="1"/>
  <c r="R41" i="13" s="1"/>
  <c r="S41" i="13" s="1"/>
  <c r="T41" i="13" s="1"/>
  <c r="U41" i="13" s="1"/>
  <c r="V41" i="13" s="1"/>
  <c r="W41" i="13" s="1"/>
  <c r="H51" i="13"/>
  <c r="I51" i="13" s="1"/>
  <c r="J51" i="13" s="1"/>
  <c r="K51" i="13" s="1"/>
  <c r="L51" i="13" s="1"/>
  <c r="M51" i="13" s="1"/>
  <c r="N51" i="13" s="1"/>
  <c r="O51" i="13" s="1"/>
  <c r="P51" i="13" s="1"/>
  <c r="Q51" i="13" s="1"/>
  <c r="R51" i="13" s="1"/>
  <c r="S51" i="13" s="1"/>
  <c r="T51" i="13" s="1"/>
  <c r="U51" i="13" s="1"/>
  <c r="V51" i="13" s="1"/>
  <c r="W51" i="13" s="1"/>
  <c r="E30" i="13"/>
  <c r="F30" i="13" s="1"/>
  <c r="G30" i="13" s="1"/>
  <c r="H30" i="13" s="1"/>
  <c r="I30" i="13" s="1"/>
  <c r="J30" i="13" s="1"/>
  <c r="K30" i="13" s="1"/>
  <c r="L30" i="13" s="1"/>
  <c r="M30" i="13" s="1"/>
  <c r="N30" i="13" s="1"/>
  <c r="O30" i="13" s="1"/>
  <c r="P30" i="13" s="1"/>
  <c r="Q30" i="13" s="1"/>
  <c r="R30" i="13" s="1"/>
  <c r="S30" i="13" s="1"/>
  <c r="T30" i="13" s="1"/>
  <c r="U30" i="13" s="1"/>
  <c r="V30" i="13" s="1"/>
  <c r="W30" i="13" s="1"/>
  <c r="E8" i="13"/>
  <c r="F8" i="13" s="1"/>
  <c r="E59" i="13" l="1"/>
  <c r="F59" i="13"/>
  <c r="G8" i="13"/>
  <c r="G59" i="13" l="1"/>
  <c r="H8" i="13"/>
  <c r="H59" i="13" l="1"/>
  <c r="I8" i="13"/>
  <c r="I59" i="13" l="1"/>
  <c r="J8" i="13"/>
  <c r="J59" i="13" l="1"/>
  <c r="K8" i="13"/>
  <c r="K59" i="13" l="1"/>
  <c r="L8" i="13"/>
  <c r="L59" i="13" l="1"/>
  <c r="M8" i="13"/>
  <c r="M59" i="13" l="1"/>
  <c r="N8" i="13"/>
  <c r="N59" i="13" l="1"/>
  <c r="O8" i="13"/>
  <c r="O59" i="13" l="1"/>
  <c r="P8" i="13"/>
  <c r="P59" i="13" l="1"/>
  <c r="Q8" i="13"/>
  <c r="Q59" i="13" l="1"/>
  <c r="R8" i="13"/>
  <c r="R59" i="13" l="1"/>
  <c r="S8" i="13"/>
  <c r="S59" i="13" l="1"/>
  <c r="T8" i="13"/>
  <c r="T59" i="13" l="1"/>
  <c r="U8" i="13"/>
  <c r="U59" i="13" l="1"/>
  <c r="V8" i="13"/>
  <c r="V59" i="13" l="1"/>
  <c r="W8" i="13"/>
  <c r="W59" i="13" s="1"/>
  <c r="W57" i="4" l="1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D24" i="4" s="1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E61" i="4" l="1"/>
  <c r="E62" i="4" s="1"/>
  <c r="E63" i="4" s="1"/>
  <c r="E24" i="4"/>
  <c r="D42" i="4"/>
  <c r="F24" i="4" l="1"/>
  <c r="E42" i="4"/>
  <c r="F42" i="4" s="1"/>
  <c r="G42" i="4" s="1"/>
  <c r="H42" i="4" s="1"/>
  <c r="I42" i="4" s="1"/>
  <c r="J42" i="4" s="1"/>
  <c r="K42" i="4" s="1"/>
  <c r="L42" i="4" s="1"/>
  <c r="M42" i="4" s="1"/>
  <c r="N42" i="4" s="1"/>
  <c r="O42" i="4" s="1"/>
  <c r="P42" i="4" s="1"/>
  <c r="Q42" i="4" s="1"/>
  <c r="R42" i="4" s="1"/>
  <c r="S42" i="4" s="1"/>
  <c r="T42" i="4" s="1"/>
  <c r="U42" i="4" s="1"/>
  <c r="V42" i="4" s="1"/>
  <c r="W42" i="4" s="1"/>
  <c r="G24" i="4" l="1"/>
  <c r="D29" i="4"/>
  <c r="H24" i="4" l="1"/>
  <c r="I24" i="4" s="1"/>
  <c r="J24" i="4" s="1"/>
  <c r="K24" i="4"/>
  <c r="E29" i="4"/>
  <c r="L24" i="4" l="1"/>
  <c r="F29" i="4"/>
  <c r="D43" i="4"/>
  <c r="M24" i="4" l="1"/>
  <c r="G29" i="4"/>
  <c r="D26" i="4"/>
  <c r="D9" i="4" s="1"/>
  <c r="D28" i="4"/>
  <c r="D41" i="4"/>
  <c r="E43" i="4"/>
  <c r="N24" i="4" l="1"/>
  <c r="H29" i="4"/>
  <c r="E41" i="4"/>
  <c r="F41" i="4" s="1"/>
  <c r="E28" i="4"/>
  <c r="E26" i="4"/>
  <c r="E9" i="4" s="1"/>
  <c r="F43" i="4"/>
  <c r="O24" i="4" l="1"/>
  <c r="F26" i="4"/>
  <c r="F9" i="4" s="1"/>
  <c r="F28" i="4"/>
  <c r="I29" i="4"/>
  <c r="G41" i="4"/>
  <c r="G43" i="4"/>
  <c r="P24" i="4" l="1"/>
  <c r="G26" i="4"/>
  <c r="G9" i="4" s="1"/>
  <c r="G28" i="4"/>
  <c r="J29" i="4"/>
  <c r="H43" i="4"/>
  <c r="H41" i="4"/>
  <c r="Q24" i="4" l="1"/>
  <c r="K29" i="4"/>
  <c r="H28" i="4"/>
  <c r="H26" i="4"/>
  <c r="H9" i="4" s="1"/>
  <c r="I43" i="4"/>
  <c r="I41" i="4"/>
  <c r="R24" i="4" l="1"/>
  <c r="I28" i="4"/>
  <c r="L29" i="4"/>
  <c r="I26" i="4"/>
  <c r="I9" i="4" s="1"/>
  <c r="I3" i="4" s="1"/>
  <c r="J43" i="4"/>
  <c r="J41" i="4"/>
  <c r="S24" i="4" l="1"/>
  <c r="J28" i="4"/>
  <c r="J26" i="4"/>
  <c r="J9" i="4" s="1"/>
  <c r="J3" i="4" s="1"/>
  <c r="M29" i="4"/>
  <c r="K41" i="4"/>
  <c r="K43" i="4"/>
  <c r="T24" i="4" l="1"/>
  <c r="N29" i="4"/>
  <c r="K26" i="4"/>
  <c r="K9" i="4" s="1"/>
  <c r="K3" i="4" s="1"/>
  <c r="K28" i="4"/>
  <c r="L43" i="4"/>
  <c r="L41" i="4"/>
  <c r="U24" i="4" l="1"/>
  <c r="L28" i="4"/>
  <c r="O29" i="4"/>
  <c r="L26" i="4"/>
  <c r="L9" i="4" s="1"/>
  <c r="L3" i="4" s="1"/>
  <c r="M41" i="4"/>
  <c r="M43" i="4"/>
  <c r="V24" i="4" l="1"/>
  <c r="M26" i="4"/>
  <c r="M9" i="4" s="1"/>
  <c r="M3" i="4" s="1"/>
  <c r="M28" i="4"/>
  <c r="P29" i="4"/>
  <c r="N43" i="4"/>
  <c r="N41" i="4"/>
  <c r="W24" i="4" l="1"/>
  <c r="N28" i="4"/>
  <c r="N26" i="4"/>
  <c r="N9" i="4" s="1"/>
  <c r="N3" i="4" s="1"/>
  <c r="Q29" i="4"/>
  <c r="O43" i="4"/>
  <c r="O41" i="4"/>
  <c r="O28" i="4" l="1"/>
  <c r="O26" i="4"/>
  <c r="O9" i="4" s="1"/>
  <c r="O3" i="4" s="1"/>
  <c r="R29" i="4"/>
  <c r="P41" i="4"/>
  <c r="P43" i="4"/>
  <c r="P26" i="4" l="1"/>
  <c r="P9" i="4" s="1"/>
  <c r="P3" i="4" s="1"/>
  <c r="S29" i="4"/>
  <c r="P28" i="4"/>
  <c r="Q43" i="4"/>
  <c r="Q41" i="4"/>
  <c r="Q28" i="4" l="1"/>
  <c r="T29" i="4"/>
  <c r="Q26" i="4"/>
  <c r="Q9" i="4" s="1"/>
  <c r="Q3" i="4" s="1"/>
  <c r="R43" i="4"/>
  <c r="R41" i="4"/>
  <c r="R26" i="4" l="1"/>
  <c r="R9" i="4" s="1"/>
  <c r="R3" i="4" s="1"/>
  <c r="R28" i="4"/>
  <c r="U29" i="4"/>
  <c r="S43" i="4"/>
  <c r="S41" i="4"/>
  <c r="S28" i="4" l="1"/>
  <c r="V29" i="4"/>
  <c r="S26" i="4"/>
  <c r="S9" i="4" s="1"/>
  <c r="S3" i="4" s="1"/>
  <c r="T43" i="4"/>
  <c r="T41" i="4"/>
  <c r="W29" i="4" l="1"/>
  <c r="T26" i="4"/>
  <c r="T9" i="4" s="1"/>
  <c r="T3" i="4" s="1"/>
  <c r="T28" i="4"/>
  <c r="U41" i="4"/>
  <c r="U43" i="4"/>
  <c r="U26" i="4" l="1"/>
  <c r="U9" i="4" s="1"/>
  <c r="U3" i="4" s="1"/>
  <c r="U28" i="4"/>
  <c r="V43" i="4"/>
  <c r="V41" i="4"/>
  <c r="V26" i="4" l="1"/>
  <c r="V9" i="4" s="1"/>
  <c r="V3" i="4" s="1"/>
  <c r="V28" i="4"/>
  <c r="W43" i="4"/>
  <c r="W41" i="4"/>
  <c r="W28" i="4" l="1"/>
  <c r="W26" i="4"/>
  <c r="W9" i="4" l="1"/>
  <c r="W3" i="4" s="1"/>
  <c r="Y24" i="4"/>
  <c r="D40" i="4"/>
  <c r="D44" i="4" s="1"/>
  <c r="D51" i="4"/>
  <c r="D25" i="4"/>
  <c r="D22" i="4" s="1"/>
  <c r="D8" i="4"/>
  <c r="D27" i="4"/>
  <c r="D52" i="4"/>
  <c r="D30" i="4"/>
  <c r="E27" i="4" l="1"/>
  <c r="D31" i="4"/>
  <c r="E52" i="4"/>
  <c r="E51" i="4"/>
  <c r="E40" i="4"/>
  <c r="E25" i="4"/>
  <c r="D59" i="4"/>
  <c r="E8" i="4"/>
  <c r="E30" i="4"/>
  <c r="F25" i="4" l="1"/>
  <c r="E22" i="4"/>
  <c r="F27" i="4"/>
  <c r="F31" i="4" s="1"/>
  <c r="E31" i="4"/>
  <c r="F40" i="4"/>
  <c r="F44" i="4" s="1"/>
  <c r="E44" i="4"/>
  <c r="F52" i="4"/>
  <c r="F51" i="4"/>
  <c r="E59" i="4"/>
  <c r="F8" i="4"/>
  <c r="F30" i="4"/>
  <c r="G40" i="4"/>
  <c r="G44" i="4" s="1"/>
  <c r="F22" i="4" l="1"/>
  <c r="G27" i="4"/>
  <c r="G31" i="4" s="1"/>
  <c r="G51" i="4"/>
  <c r="G52" i="4"/>
  <c r="G8" i="4"/>
  <c r="G30" i="4"/>
  <c r="H30" i="4" s="1"/>
  <c r="G25" i="4"/>
  <c r="F59" i="4"/>
  <c r="H40" i="4"/>
  <c r="H44" i="4" s="1"/>
  <c r="G22" i="4" l="1"/>
  <c r="H27" i="4"/>
  <c r="H31" i="4" s="1"/>
  <c r="H51" i="4"/>
  <c r="H52" i="4"/>
  <c r="H8" i="4"/>
  <c r="G59" i="4"/>
  <c r="H25" i="4"/>
  <c r="I30" i="4"/>
  <c r="I40" i="4"/>
  <c r="I44" i="4" s="1"/>
  <c r="H22" i="4" l="1"/>
  <c r="I27" i="4"/>
  <c r="I51" i="4"/>
  <c r="I52" i="4"/>
  <c r="H59" i="4"/>
  <c r="I8" i="4"/>
  <c r="I25" i="4"/>
  <c r="J30" i="4"/>
  <c r="J40" i="4"/>
  <c r="J44" i="4" s="1"/>
  <c r="I2" i="4" l="1"/>
  <c r="I31" i="4"/>
  <c r="I22" i="4"/>
  <c r="J27" i="4"/>
  <c r="J51" i="4"/>
  <c r="J25" i="4"/>
  <c r="J22" i="4" s="1"/>
  <c r="J52" i="4"/>
  <c r="I59" i="4"/>
  <c r="J8" i="4"/>
  <c r="K30" i="4"/>
  <c r="K40" i="4"/>
  <c r="K44" i="4" s="1"/>
  <c r="J2" i="4" l="1"/>
  <c r="J31" i="4"/>
  <c r="K51" i="4"/>
  <c r="L51" i="4" s="1"/>
  <c r="K27" i="4"/>
  <c r="K52" i="4"/>
  <c r="K25" i="4"/>
  <c r="K22" i="4" s="1"/>
  <c r="K8" i="4"/>
  <c r="K59" i="4" s="1"/>
  <c r="J59" i="4"/>
  <c r="L30" i="4"/>
  <c r="L40" i="4"/>
  <c r="L44" i="4" s="1"/>
  <c r="K2" i="4" l="1"/>
  <c r="K31" i="4"/>
  <c r="L27" i="4"/>
  <c r="L52" i="4"/>
  <c r="L25" i="4"/>
  <c r="L22" i="4" s="1"/>
  <c r="L8" i="4"/>
  <c r="M8" i="4" s="1"/>
  <c r="M30" i="4"/>
  <c r="M51" i="4"/>
  <c r="M40" i="4"/>
  <c r="M44" i="4" s="1"/>
  <c r="L2" i="4" l="1"/>
  <c r="L31" i="4"/>
  <c r="M27" i="4"/>
  <c r="M52" i="4"/>
  <c r="M25" i="4"/>
  <c r="M22" i="4" s="1"/>
  <c r="L59" i="4"/>
  <c r="N30" i="4"/>
  <c r="N8" i="4"/>
  <c r="M59" i="4"/>
  <c r="N40" i="4"/>
  <c r="N44" i="4" s="1"/>
  <c r="N51" i="4"/>
  <c r="M2" i="4" l="1"/>
  <c r="M31" i="4"/>
  <c r="N52" i="4"/>
  <c r="N27" i="4"/>
  <c r="N25" i="4"/>
  <c r="N22" i="4" s="1"/>
  <c r="O30" i="4"/>
  <c r="N59" i="4"/>
  <c r="O8" i="4"/>
  <c r="O51" i="4"/>
  <c r="O40" i="4"/>
  <c r="O44" i="4" s="1"/>
  <c r="N2" i="4" l="1"/>
  <c r="N31" i="4"/>
  <c r="O52" i="4"/>
  <c r="O27" i="4"/>
  <c r="O25" i="4"/>
  <c r="O22" i="4" s="1"/>
  <c r="P30" i="4"/>
  <c r="O59" i="4"/>
  <c r="P8" i="4"/>
  <c r="P51" i="4"/>
  <c r="P40" i="4"/>
  <c r="P44" i="4" s="1"/>
  <c r="O2" i="4" l="1"/>
  <c r="O31" i="4"/>
  <c r="P27" i="4"/>
  <c r="P52" i="4"/>
  <c r="Q52" i="4" s="1"/>
  <c r="P25" i="4"/>
  <c r="P22" i="4" s="1"/>
  <c r="Q30" i="4"/>
  <c r="P59" i="4"/>
  <c r="Q8" i="4"/>
  <c r="Q40" i="4"/>
  <c r="Q44" i="4" s="1"/>
  <c r="Q51" i="4"/>
  <c r="P2" i="4" l="1"/>
  <c r="P31" i="4"/>
  <c r="Q27" i="4"/>
  <c r="Q25" i="4"/>
  <c r="Q22" i="4" s="1"/>
  <c r="R30" i="4"/>
  <c r="R8" i="4"/>
  <c r="Q59" i="4"/>
  <c r="R40" i="4"/>
  <c r="R44" i="4" s="1"/>
  <c r="R52" i="4"/>
  <c r="R51" i="4"/>
  <c r="Q2" i="4" l="1"/>
  <c r="Q31" i="4"/>
  <c r="S30" i="4"/>
  <c r="R27" i="4"/>
  <c r="R25" i="4"/>
  <c r="R59" i="4"/>
  <c r="S8" i="4"/>
  <c r="S51" i="4"/>
  <c r="S52" i="4"/>
  <c r="S40" i="4"/>
  <c r="S44" i="4" s="1"/>
  <c r="R2" i="4" l="1"/>
  <c r="R31" i="4"/>
  <c r="S25" i="4"/>
  <c r="R22" i="4"/>
  <c r="S27" i="4"/>
  <c r="T30" i="4"/>
  <c r="S59" i="4"/>
  <c r="T8" i="4"/>
  <c r="T25" i="4"/>
  <c r="T40" i="4"/>
  <c r="T44" i="4" s="1"/>
  <c r="T52" i="4"/>
  <c r="T51" i="4"/>
  <c r="S2" i="4" l="1"/>
  <c r="S31" i="4"/>
  <c r="S22" i="4"/>
  <c r="T27" i="4"/>
  <c r="U30" i="4"/>
  <c r="T59" i="4"/>
  <c r="U8" i="4"/>
  <c r="U25" i="4"/>
  <c r="U52" i="4"/>
  <c r="U51" i="4"/>
  <c r="U40" i="4"/>
  <c r="U44" i="4" s="1"/>
  <c r="T2" i="4" l="1"/>
  <c r="T31" i="4"/>
  <c r="T22" i="4"/>
  <c r="U27" i="4"/>
  <c r="V30" i="4"/>
  <c r="V8" i="4"/>
  <c r="U59" i="4"/>
  <c r="V25" i="4"/>
  <c r="V40" i="4"/>
  <c r="V44" i="4" s="1"/>
  <c r="V52" i="4"/>
  <c r="V51" i="4"/>
  <c r="U2" i="4" l="1"/>
  <c r="U31" i="4"/>
  <c r="U22" i="4"/>
  <c r="V27" i="4"/>
  <c r="W30" i="4"/>
  <c r="V59" i="4"/>
  <c r="W8" i="4"/>
  <c r="W25" i="4"/>
  <c r="W52" i="4"/>
  <c r="W40" i="4"/>
  <c r="W44" i="4" s="1"/>
  <c r="Z8" i="4" s="1"/>
  <c r="Z9" i="4" s="1"/>
  <c r="W51" i="4"/>
  <c r="V2" i="4" l="1"/>
  <c r="V31" i="4"/>
  <c r="V22" i="4"/>
  <c r="W27" i="4"/>
  <c r="W59" i="4"/>
  <c r="W2" i="4" l="1"/>
  <c r="W31" i="4"/>
  <c r="X28" i="4" s="1"/>
  <c r="Z24" i="4"/>
  <c r="W22" i="4"/>
  <c r="AA24" i="4"/>
</calcChain>
</file>

<file path=xl/sharedStrings.xml><?xml version="1.0" encoding="utf-8"?>
<sst xmlns="http://schemas.openxmlformats.org/spreadsheetml/2006/main" count="579" uniqueCount="226">
  <si>
    <t>Resource</t>
  </si>
  <si>
    <t>East</t>
  </si>
  <si>
    <t>Existing Plant Retirements and PPA Termination</t>
  </si>
  <si>
    <t>Craig 1  (Coal Early Retirement/Conversions)</t>
  </si>
  <si>
    <t>Hayden 1</t>
  </si>
  <si>
    <t>Hayden 2</t>
  </si>
  <si>
    <t/>
  </si>
  <si>
    <t>Capacity (MW)</t>
  </si>
  <si>
    <t>Huntington 1</t>
  </si>
  <si>
    <t>Huntington 2</t>
  </si>
  <si>
    <t>Cholla 4  (Coal Early Retirement/Conversions)</t>
  </si>
  <si>
    <t>DaveJohnston 1</t>
  </si>
  <si>
    <t>DaveJohnston 2</t>
  </si>
  <si>
    <t>DaveJohnston 3</t>
  </si>
  <si>
    <t>DaveJohnston 4</t>
  </si>
  <si>
    <t>Naughton 3  (Coal Early Retirement/Conversions)</t>
  </si>
  <si>
    <t>Gadsby 1-6</t>
  </si>
  <si>
    <t>Retire - Hydro</t>
  </si>
  <si>
    <t>Retire - Wind</t>
  </si>
  <si>
    <t>Expire - Wind PPA</t>
  </si>
  <si>
    <t>Expire - Solar PPA</t>
  </si>
  <si>
    <t>Retire - Other</t>
  </si>
  <si>
    <t>Expansion Resources</t>
  </si>
  <si>
    <t>SCCT Frame NTN</t>
  </si>
  <si>
    <t>SCCT Frame WYSW</t>
  </si>
  <si>
    <t>Wind, Djohnston</t>
  </si>
  <si>
    <t>Wind, GO</t>
  </si>
  <si>
    <t>Wind, WYAE</t>
  </si>
  <si>
    <t>Total Wind</t>
  </si>
  <si>
    <t>Utility Solar+Storage - PV - Huntington</t>
  </si>
  <si>
    <t>Total Solar</t>
  </si>
  <si>
    <t>Demand Response, ID-Irrigate</t>
  </si>
  <si>
    <t>Demand Response, UT-Cool/WH</t>
  </si>
  <si>
    <t>Demand Response, UT-3rd Party Contracts</t>
  </si>
  <si>
    <t>Demand Response, UT-Irrigate</t>
  </si>
  <si>
    <t>Demand Response, UT-Thermostat</t>
  </si>
  <si>
    <t>Demand Response, WY-Cool/WH</t>
  </si>
  <si>
    <t>Demand Response, WY-3rd Party Contracts</t>
  </si>
  <si>
    <t>Demand Response, WY-Irrigate</t>
  </si>
  <si>
    <t>Demand Response, WY-Thermostat</t>
  </si>
  <si>
    <t>Demand Response, UT-Ancillary Services</t>
  </si>
  <si>
    <t>Demand Response, WY-Ancillary Services</t>
  </si>
  <si>
    <t>Demand Response Total</t>
  </si>
  <si>
    <t>Energy Efficiency, ID</t>
  </si>
  <si>
    <t>Energy Efficiency, UT</t>
  </si>
  <si>
    <t>Energy Efficiency, WY</t>
  </si>
  <si>
    <t>Energy Efficiency Total</t>
  </si>
  <si>
    <t>FOT East - Summer</t>
  </si>
  <si>
    <t>West</t>
  </si>
  <si>
    <t>Hermiston</t>
  </si>
  <si>
    <t>Utility Solar+Storage - PV - Jbridger</t>
  </si>
  <si>
    <t>Demand Response, OR-Ancillary Services</t>
  </si>
  <si>
    <t>Demand Response  Total</t>
  </si>
  <si>
    <t>Energy Efficiency, CA</t>
  </si>
  <si>
    <t>Energy Efficiency, OR</t>
  </si>
  <si>
    <t>Energy Efficiency, WA</t>
  </si>
  <si>
    <t>Energy Efficiency  Total</t>
  </si>
  <si>
    <t>FOT West - Summer</t>
  </si>
  <si>
    <t>Coal</t>
  </si>
  <si>
    <t>Wind</t>
  </si>
  <si>
    <t>Solar</t>
  </si>
  <si>
    <t>Gas</t>
  </si>
  <si>
    <t>Gas Peaker</t>
  </si>
  <si>
    <t>Class 1 DSM</t>
  </si>
  <si>
    <t>Class 2 DSM</t>
  </si>
  <si>
    <t>Solar+Bat</t>
  </si>
  <si>
    <t>FOT</t>
  </si>
  <si>
    <t>Gas CCCT</t>
  </si>
  <si>
    <t>Wind+Bat</t>
  </si>
  <si>
    <t>Incremental</t>
  </si>
  <si>
    <t>Cumulative</t>
  </si>
  <si>
    <t>Renewable and Storage</t>
  </si>
  <si>
    <t>Battery</t>
  </si>
  <si>
    <t>Coal Removed</t>
  </si>
  <si>
    <t>Gas Removed</t>
  </si>
  <si>
    <t>Hydro Removed</t>
  </si>
  <si>
    <t>Wind Removed</t>
  </si>
  <si>
    <t>Solar Removed</t>
  </si>
  <si>
    <t>Other Removed</t>
  </si>
  <si>
    <t>Demand-Side Management</t>
  </si>
  <si>
    <t>FOTs</t>
  </si>
  <si>
    <t>Total SCCT</t>
  </si>
  <si>
    <t>Renewable Removed</t>
  </si>
  <si>
    <t>Removed Capacity</t>
  </si>
  <si>
    <t>Demand Response, WA-Ancillary Services</t>
  </si>
  <si>
    <t>FOT West - Winter</t>
  </si>
  <si>
    <t>Gas Conv.</t>
  </si>
  <si>
    <t>Coal Ret_WY - Gas RePower</t>
  </si>
  <si>
    <t>Craig 2  (Coal Early Retirement/Conversions)</t>
  </si>
  <si>
    <t>Colstrip 3  (Coal Early Retirement/Conversions)</t>
  </si>
  <si>
    <t>Colstrip 4  (Coal Early Retirement/Conversions)</t>
  </si>
  <si>
    <t>JimBridger 1  (Coal Early Retirement/Conversions)</t>
  </si>
  <si>
    <t>JimBridger 2  (Coal Early Retirement/Conversions)</t>
  </si>
  <si>
    <t>CAES</t>
  </si>
  <si>
    <t>Naughton 1  (Coal Early Retirement/Conversions)</t>
  </si>
  <si>
    <t>Naughton 2  (Coal Early Retirement/Conversions)</t>
  </si>
  <si>
    <t>Demand Response, OR-Irrigate</t>
  </si>
  <si>
    <t>Demand Response, WA-Irrigate</t>
  </si>
  <si>
    <t>Winter FOT</t>
  </si>
  <si>
    <t>Wind, UT</t>
  </si>
  <si>
    <t>Utility Solar+Storage - PV - Utah-S</t>
  </si>
  <si>
    <t>Utility Solar+Storage - PV - Utah-N</t>
  </si>
  <si>
    <t>Battery Storage - Utah-S</t>
  </si>
  <si>
    <t>Battery Storage - WYSW</t>
  </si>
  <si>
    <t>Battery Storage - Idaho</t>
  </si>
  <si>
    <t>SCCT Frame WV</t>
  </si>
  <si>
    <t>Utility Solar+Storage - PV - S-Oregon</t>
  </si>
  <si>
    <t>Utility Solar+Storage - PV - Yakima</t>
  </si>
  <si>
    <t>Demand Response, CA-Cool/WH</t>
  </si>
  <si>
    <t>Demand Response, CA-3rd Party Contracts</t>
  </si>
  <si>
    <t>Demand Response, CA-Irrigate</t>
  </si>
  <si>
    <t>Demand Response, CA-Thermostat</t>
  </si>
  <si>
    <t>Demand Response, OR-3rd Party Contracts</t>
  </si>
  <si>
    <t>Demand Response, WA-Cool/WH</t>
  </si>
  <si>
    <t>Demand Response, WA-3rd Party Contracts</t>
  </si>
  <si>
    <t>Demand Response, WA-Thermostat</t>
  </si>
  <si>
    <t>Battery Storage - S-Oregon</t>
  </si>
  <si>
    <t>Battery Storage - Portland NC</t>
  </si>
  <si>
    <t>Battery Storage - Walla Walla</t>
  </si>
  <si>
    <t>Battery Storage - Yakima</t>
  </si>
  <si>
    <t>Storage</t>
  </si>
  <si>
    <t>Study Name: I17_S_OP_GW4b  (03-03-17 0737 PM)</t>
  </si>
  <si>
    <t xml:space="preserve">Study Description: </t>
  </si>
  <si>
    <t>Existing Plant Retirements/Conversions</t>
  </si>
  <si>
    <t>Craig 2</t>
  </si>
  <si>
    <t>Naughton 1</t>
  </si>
  <si>
    <t>Naughton 2</t>
  </si>
  <si>
    <t>CCCT - DJohns - J 1x1</t>
  </si>
  <si>
    <t>Total CCCT</t>
  </si>
  <si>
    <t>SCCT Frame DJ</t>
  </si>
  <si>
    <t>SCCT Frame UTN</t>
  </si>
  <si>
    <t>Utility Solar - PV - Utah-S</t>
  </si>
  <si>
    <t>DSM, Class 1, ID-Cool/WH</t>
  </si>
  <si>
    <t>DSM, Class 1, ID-Curtail</t>
  </si>
  <si>
    <t>DSM, Class 1, ID-Irrigate</t>
  </si>
  <si>
    <t>DSM, Class 1, UT-Cool/WH</t>
  </si>
  <si>
    <t>DSM, Class 1, UT-Curtail</t>
  </si>
  <si>
    <t>DSM, Class 1, UT-Irrigate</t>
  </si>
  <si>
    <t>DSM, Class 1, WY-Cool/WH</t>
  </si>
  <si>
    <t>DSM, Class 1, WY-Curtail</t>
  </si>
  <si>
    <t>DSM, Class 1, WY-Irrigate</t>
  </si>
  <si>
    <t>DSM, Class 1 Total</t>
  </si>
  <si>
    <t>DSM, Class 2, ID</t>
  </si>
  <si>
    <t>DSM, Class 2, UT</t>
  </si>
  <si>
    <t>DSM, Class 2, WY</t>
  </si>
  <si>
    <t>DSM, Class 2 Total</t>
  </si>
  <si>
    <t>FOT Mona - SMR</t>
  </si>
  <si>
    <t>CCCT - WillamValcc - G 1x1</t>
  </si>
  <si>
    <t>Utility Solar - PV - Yakima</t>
  </si>
  <si>
    <t>DSM, Class 1, CA-Cool/WH</t>
  </si>
  <si>
    <t>DSM, Class 1, CA-Curtail</t>
  </si>
  <si>
    <t>DSM, Class 1, CA-Irrigate</t>
  </si>
  <si>
    <t>DSM, Class 1, OR-Cool/WH</t>
  </si>
  <si>
    <t>DSM, Class 1, OR-Curtail</t>
  </si>
  <si>
    <t>DSM, Class 1, OR-Irrigate</t>
  </si>
  <si>
    <t>DSM, Class 1, WA-Cool/WH</t>
  </si>
  <si>
    <t>DSM, Class 1, WA-Curtail</t>
  </si>
  <si>
    <t>DSM, Class 1, WA-Irrigate</t>
  </si>
  <si>
    <t>DSM, Class 1  Total</t>
  </si>
  <si>
    <t>DSM, Class 2, CA</t>
  </si>
  <si>
    <t>DSM, Class 2, OR</t>
  </si>
  <si>
    <t>DSM, Class 2, WA</t>
  </si>
  <si>
    <t>DSM, Class 2  Total</t>
  </si>
  <si>
    <t>Geothermal, Greenfield - West</t>
  </si>
  <si>
    <t>FOT COB - SMR</t>
  </si>
  <si>
    <t>FOT MidColumbia - SMR</t>
  </si>
  <si>
    <t>FOT MidColumbia - SMR - 2</t>
  </si>
  <si>
    <t>FOT NOB - SMR</t>
  </si>
  <si>
    <t>FOT MidColumbia - WTR</t>
  </si>
  <si>
    <t>FOT MidColumbia - WTR2</t>
  </si>
  <si>
    <t>FOT NOB - WTR</t>
  </si>
  <si>
    <t>Geothermal</t>
  </si>
  <si>
    <t>JimBridger 3</t>
  </si>
  <si>
    <t>JimBridger 4</t>
  </si>
  <si>
    <t>Case P-45CP Portfolio</t>
  </si>
  <si>
    <t>EV Wind</t>
  </si>
  <si>
    <t>FB Solar</t>
  </si>
  <si>
    <t>CSII</t>
  </si>
  <si>
    <t>FCI</t>
  </si>
  <si>
    <t>Marengo</t>
  </si>
  <si>
    <t>Pryor Mtn</t>
  </si>
  <si>
    <t>Study Name: I19-P45CNW-MMR  (09-22-19 1006 AM)</t>
  </si>
  <si>
    <t>Wind+Storage, GO</t>
  </si>
  <si>
    <t>Wind+Storage, YK</t>
  </si>
  <si>
    <t>Battery Storage - Willamette Valley</t>
  </si>
  <si>
    <t>Total Gas Peaking</t>
  </si>
  <si>
    <t>Brownfield DJ CCCT</t>
  </si>
  <si>
    <t>I_DJ_CC_J13701</t>
  </si>
  <si>
    <t>MW</t>
  </si>
  <si>
    <t>GWh</t>
  </si>
  <si>
    <t>CF</t>
  </si>
  <si>
    <t>I_DJ_CC_J1D3701</t>
  </si>
  <si>
    <t>CCCT Combined</t>
  </si>
  <si>
    <t>NT Frame</t>
  </si>
  <si>
    <t>I_NTN_SC_FRM2601</t>
  </si>
  <si>
    <t>I_NTN_SC_FRM3001</t>
  </si>
  <si>
    <t>I_NTN_SC_FRM3002</t>
  </si>
  <si>
    <t>I_WS2_SC_FRM3702</t>
  </si>
  <si>
    <t>I_WV_SC_FRM3701</t>
  </si>
  <si>
    <t>WV Frame</t>
  </si>
  <si>
    <t>SWY Frame</t>
  </si>
  <si>
    <t>I_WV_SC_FRM3702</t>
  </si>
  <si>
    <t>Frame Combined</t>
  </si>
  <si>
    <t>Date</t>
  </si>
  <si>
    <t>Iteration</t>
  </si>
  <si>
    <t>Value</t>
  </si>
  <si>
    <t>Expected Values</t>
  </si>
  <si>
    <t>P-45CNW</t>
  </si>
  <si>
    <t>2017 IRP</t>
  </si>
  <si>
    <t>Market Prucahses</t>
  </si>
  <si>
    <t>Existing Gas</t>
  </si>
  <si>
    <t>New Gas</t>
  </si>
  <si>
    <t>New Solar Capacity</t>
  </si>
  <si>
    <t>New Wind Capacity</t>
  </si>
  <si>
    <t>New Storage Capacity</t>
  </si>
  <si>
    <t>Coal Retirements</t>
  </si>
  <si>
    <t>Summer and Winter FOTs, respectively.</t>
  </si>
  <si>
    <t>Figure 8.31</t>
  </si>
  <si>
    <t>Figire 8.33</t>
  </si>
  <si>
    <t>Figire 8.32</t>
  </si>
  <si>
    <t>Figire 8.34</t>
  </si>
  <si>
    <t>Figure 8.36</t>
  </si>
  <si>
    <t>Figure 8.38</t>
  </si>
  <si>
    <t>Figure 8.39</t>
  </si>
  <si>
    <t>Figure 8.40</t>
  </si>
  <si>
    <t>Figure 8.41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</si>
</sst>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* #,##0.0_);_(* \(#,##0.0\);_(* &quot;-&quot;??_);_(@_)"/>
    <numFmt numFmtId="167" formatCode="_(* #,##0.000_);_(* \(#,##0.0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22"/>
      <name val="Times New Roman"/>
      <family val="1"/>
    </font>
    <font>
      <i/>
      <sz val="11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7" fillId="0" borderId="17" xfId="0" applyFont="1" applyFill="1" applyBorder="1" applyAlignment="1"/>
    <xf numFmtId="1" fontId="4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4" fillId="0" borderId="0" xfId="0" applyFont="1" applyFill="1" applyAlignment="1">
      <alignment vertical="top" wrapText="1"/>
    </xf>
    <xf numFmtId="0" fontId="7" fillId="0" borderId="0" xfId="0" applyFont="1" applyFill="1"/>
    <xf numFmtId="1" fontId="7" fillId="0" borderId="0" xfId="0" applyNumberFormat="1" applyFont="1" applyFill="1"/>
    <xf numFmtId="0" fontId="2" fillId="0" borderId="0" xfId="0" applyFont="1" applyFill="1" applyAlignment="1">
      <alignment horizontal="right" vertical="center"/>
    </xf>
    <xf numFmtId="164" fontId="5" fillId="0" borderId="0" xfId="0" applyNumberFormat="1" applyFont="1" applyFill="1" applyAlignment="1">
      <alignment horizontal="left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1" xfId="0" applyFont="1" applyFill="1" applyBorder="1" applyAlignment="1"/>
    <xf numFmtId="0" fontId="4" fillId="0" borderId="2" xfId="0" applyFont="1" applyFill="1" applyBorder="1" applyAlignment="1"/>
    <xf numFmtId="0" fontId="6" fillId="0" borderId="16" xfId="0" applyFont="1" applyFill="1" applyBorder="1" applyAlignment="1">
      <alignment horizontal="center" vertical="top"/>
    </xf>
    <xf numFmtId="0" fontId="6" fillId="0" borderId="4" xfId="0" applyFont="1" applyFill="1" applyBorder="1" applyAlignment="1"/>
    <xf numFmtId="0" fontId="7" fillId="0" borderId="4" xfId="0" applyFont="1" applyFill="1" applyBorder="1" applyAlignment="1"/>
    <xf numFmtId="0" fontId="7" fillId="0" borderId="6" xfId="0" applyFont="1" applyFill="1" applyBorder="1" applyAlignment="1"/>
    <xf numFmtId="0" fontId="7" fillId="0" borderId="7" xfId="0" applyFont="1" applyFill="1" applyBorder="1" applyAlignment="1"/>
    <xf numFmtId="0" fontId="6" fillId="0" borderId="5" xfId="0" applyFont="1" applyFill="1" applyBorder="1" applyAlignment="1">
      <alignment horizontal="center" vertical="top"/>
    </xf>
    <xf numFmtId="0" fontId="7" fillId="0" borderId="18" xfId="0" applyFont="1" applyFill="1" applyBorder="1" applyAlignment="1"/>
    <xf numFmtId="165" fontId="4" fillId="0" borderId="2" xfId="1" applyNumberFormat="1" applyFont="1" applyFill="1" applyBorder="1" applyAlignment="1">
      <alignment horizontal="center"/>
    </xf>
    <xf numFmtId="165" fontId="4" fillId="0" borderId="8" xfId="1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top"/>
    </xf>
    <xf numFmtId="0" fontId="7" fillId="0" borderId="9" xfId="0" applyFont="1" applyFill="1" applyBorder="1" applyAlignment="1"/>
    <xf numFmtId="0" fontId="6" fillId="0" borderId="10" xfId="0" applyFont="1" applyFill="1" applyBorder="1" applyAlignment="1"/>
    <xf numFmtId="165" fontId="4" fillId="0" borderId="12" xfId="1" applyNumberFormat="1" applyFont="1" applyFill="1" applyBorder="1" applyAlignment="1">
      <alignment horizontal="center"/>
    </xf>
    <xf numFmtId="0" fontId="7" fillId="0" borderId="11" xfId="0" applyFont="1" applyFill="1" applyBorder="1" applyAlignment="1"/>
    <xf numFmtId="166" fontId="4" fillId="0" borderId="8" xfId="1" applyNumberFormat="1" applyFont="1" applyFill="1" applyBorder="1" applyAlignment="1">
      <alignment horizontal="center"/>
    </xf>
    <xf numFmtId="166" fontId="4" fillId="0" borderId="2" xfId="1" applyNumberFormat="1" applyFont="1" applyFill="1" applyBorder="1" applyAlignment="1">
      <alignment horizontal="center"/>
    </xf>
    <xf numFmtId="166" fontId="4" fillId="0" borderId="12" xfId="1" applyNumberFormat="1" applyFont="1" applyFill="1" applyBorder="1" applyAlignment="1">
      <alignment horizontal="center"/>
    </xf>
    <xf numFmtId="0" fontId="7" fillId="0" borderId="16" xfId="0" applyFont="1" applyFill="1" applyBorder="1" applyAlignment="1"/>
    <xf numFmtId="0" fontId="7" fillId="0" borderId="5" xfId="0" applyFont="1" applyFill="1" applyBorder="1" applyAlignment="1">
      <alignment horizontal="right" vertical="top"/>
    </xf>
    <xf numFmtId="0" fontId="6" fillId="0" borderId="13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/>
    </xf>
    <xf numFmtId="167" fontId="4" fillId="0" borderId="8" xfId="1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right" vertical="top"/>
    </xf>
    <xf numFmtId="165" fontId="4" fillId="0" borderId="5" xfId="1" applyNumberFormat="1" applyFont="1" applyFill="1" applyBorder="1" applyAlignment="1">
      <alignment horizontal="center"/>
    </xf>
    <xf numFmtId="0" fontId="9" fillId="0" borderId="0" xfId="0" applyFont="1" applyFill="1"/>
    <xf numFmtId="37" fontId="9" fillId="0" borderId="0" xfId="0" applyNumberFormat="1" applyFont="1" applyFill="1"/>
    <xf numFmtId="0" fontId="10" fillId="0" borderId="0" xfId="0" applyFont="1" applyFill="1"/>
    <xf numFmtId="0" fontId="11" fillId="0" borderId="0" xfId="0" applyFont="1" applyFill="1"/>
    <xf numFmtId="37" fontId="9" fillId="0" borderId="0" xfId="0" applyNumberFormat="1" applyFont="1" applyFill="1" applyAlignment="1">
      <alignment horizontal="center"/>
    </xf>
    <xf numFmtId="165" fontId="9" fillId="0" borderId="0" xfId="0" applyNumberFormat="1" applyFont="1" applyFill="1"/>
    <xf numFmtId="43" fontId="9" fillId="0" borderId="0" xfId="0" applyNumberFormat="1" applyFont="1" applyFill="1"/>
    <xf numFmtId="0" fontId="9" fillId="0" borderId="0" xfId="0" applyFont="1" applyFill="1" applyAlignment="1">
      <alignment horizontal="center"/>
    </xf>
    <xf numFmtId="0" fontId="2" fillId="0" borderId="0" xfId="0" applyFont="1" applyFill="1" applyAlignment="1">
      <alignment vertical="top"/>
    </xf>
    <xf numFmtId="0" fontId="2" fillId="0" borderId="0" xfId="0" applyFont="1" applyFill="1"/>
    <xf numFmtId="0" fontId="8" fillId="0" borderId="0" xfId="0" applyFont="1" applyFill="1" applyAlignment="1">
      <alignment vertical="top"/>
    </xf>
    <xf numFmtId="0" fontId="6" fillId="0" borderId="3" xfId="0" applyFont="1" applyFill="1" applyBorder="1" applyAlignment="1">
      <alignment horizontal="center" vertical="top"/>
    </xf>
    <xf numFmtId="0" fontId="7" fillId="0" borderId="15" xfId="0" applyFont="1" applyFill="1" applyBorder="1" applyAlignment="1"/>
    <xf numFmtId="165" fontId="4" fillId="0" borderId="19" xfId="1" applyNumberFormat="1" applyFont="1" applyFill="1" applyBorder="1" applyAlignment="1">
      <alignment horizontal="center"/>
    </xf>
    <xf numFmtId="0" fontId="7" fillId="0" borderId="3" xfId="0" applyFont="1" applyFill="1" applyBorder="1" applyAlignment="1"/>
    <xf numFmtId="0" fontId="7" fillId="0" borderId="13" xfId="0" applyFont="1" applyFill="1" applyBorder="1" applyAlignment="1">
      <alignment horizontal="center" vertical="top"/>
    </xf>
    <xf numFmtId="0" fontId="7" fillId="0" borderId="2" xfId="0" applyFont="1" applyFill="1" applyBorder="1" applyAlignment="1"/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/>
    </xf>
    <xf numFmtId="9" fontId="9" fillId="0" borderId="0" xfId="3" applyFont="1" applyFill="1" applyAlignment="1">
      <alignment horizontal="center"/>
    </xf>
    <xf numFmtId="0" fontId="9" fillId="0" borderId="0" xfId="4" applyFont="1" applyFill="1"/>
    <xf numFmtId="22" fontId="9" fillId="0" borderId="0" xfId="4" applyNumberFormat="1" applyFont="1" applyFill="1"/>
  </cellXfs>
  <cellStyles count="5">
    <cellStyle name="Comma" xfId="1" builtinId="3"/>
    <cellStyle name="Normal" xfId="0" builtinId="0"/>
    <cellStyle name="Normal 72" xfId="4"/>
    <cellStyle name="Normal 73" xfId="2"/>
    <cellStyle name="Percent" xfId="3" builtinId="5"/>
  </cellStyles>
  <dxfs count="0"/>
  <tableStyles count="0" defaultTableStyle="TableStyleMedium2" defaultPivotStyle="PivotStyleLight16"/>
  <colors>
    <mruColors>
      <color rgb="FF007FAC"/>
      <color rgb="FFC525A3"/>
      <color rgb="FFB482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'Port P45CNW'!$C$8</c:f>
              <c:strCache>
                <c:ptCount val="1"/>
                <c:pt idx="0">
                  <c:v>Coal Removed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'Port P45CNW'!$D$7:$W$7</c:f>
              <c:numCache>
                <c:formatCode>General</c:formatCode>
                <c:ptCount val="20"/>
                <c:pt idx="0" formatCode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'Port P45CNW'!$D$8:$W$8</c:f>
              <c:numCache>
                <c:formatCode>#,##0_);\(#,##0\)</c:formatCode>
                <c:ptCount val="20"/>
                <c:pt idx="0">
                  <c:v>0</c:v>
                </c:pt>
                <c:pt idx="1">
                  <c:v>-280</c:v>
                </c:pt>
                <c:pt idx="2">
                  <c:v>-667</c:v>
                </c:pt>
                <c:pt idx="3">
                  <c:v>-667</c:v>
                </c:pt>
                <c:pt idx="4">
                  <c:v>-667</c:v>
                </c:pt>
                <c:pt idx="5">
                  <c:v>-1017.5</c:v>
                </c:pt>
                <c:pt idx="6">
                  <c:v>-1017.5</c:v>
                </c:pt>
                <c:pt idx="7">
                  <c:v>-1456.8</c:v>
                </c:pt>
                <c:pt idx="8">
                  <c:v>-1538.3</c:v>
                </c:pt>
                <c:pt idx="9">
                  <c:v>-2441.3000000000002</c:v>
                </c:pt>
                <c:pt idx="10">
                  <c:v>-2797.1000000000004</c:v>
                </c:pt>
                <c:pt idx="11">
                  <c:v>-2797.1000000000004</c:v>
                </c:pt>
                <c:pt idx="12">
                  <c:v>-2873.7000000000003</c:v>
                </c:pt>
                <c:pt idx="13">
                  <c:v>-2873.7000000000003</c:v>
                </c:pt>
                <c:pt idx="14">
                  <c:v>-2873.7000000000003</c:v>
                </c:pt>
                <c:pt idx="15">
                  <c:v>-2873.7000000000003</c:v>
                </c:pt>
                <c:pt idx="16">
                  <c:v>-2873.7000000000003</c:v>
                </c:pt>
                <c:pt idx="17">
                  <c:v>-2873.7000000000003</c:v>
                </c:pt>
                <c:pt idx="18">
                  <c:v>-3782.7000000000003</c:v>
                </c:pt>
                <c:pt idx="19">
                  <c:v>-4484.7000000000007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349694648"/>
        <c:axId val="349696608"/>
      </c:barChart>
      <c:catAx>
        <c:axId val="3496946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696608"/>
        <c:crosses val="autoZero"/>
        <c:auto val="1"/>
        <c:lblAlgn val="ctr"/>
        <c:lblOffset val="100"/>
        <c:noMultiLvlLbl val="0"/>
      </c:catAx>
      <c:valAx>
        <c:axId val="34969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694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Natural Gas Peaking Capacity*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2019 IRP</c:v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'Port P45CNW'!$D$55:$W$55</c:f>
              <c:numCache>
                <c:formatCode>General</c:formatCode>
                <c:ptCount val="20"/>
                <c:pt idx="0" formatCode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'Port P45CNW'!$D$44:$W$44</c:f>
              <c:numCache>
                <c:formatCode>#,##0_);\(#,##0\)</c:formatCode>
                <c:ptCount val="20"/>
                <c:pt idx="0">
                  <c:v>0</c:v>
                </c:pt>
                <c:pt idx="1">
                  <c:v>247</c:v>
                </c:pt>
                <c:pt idx="2">
                  <c:v>247</c:v>
                </c:pt>
                <c:pt idx="3">
                  <c:v>247</c:v>
                </c:pt>
                <c:pt idx="4">
                  <c:v>247</c:v>
                </c:pt>
                <c:pt idx="5">
                  <c:v>247</c:v>
                </c:pt>
                <c:pt idx="6">
                  <c:v>247</c:v>
                </c:pt>
                <c:pt idx="7">
                  <c:v>431.9</c:v>
                </c:pt>
                <c:pt idx="8">
                  <c:v>431.9</c:v>
                </c:pt>
                <c:pt idx="9">
                  <c:v>431.9</c:v>
                </c:pt>
                <c:pt idx="10">
                  <c:v>431.9</c:v>
                </c:pt>
                <c:pt idx="11">
                  <c:v>554.70000000000005</c:v>
                </c:pt>
                <c:pt idx="12">
                  <c:v>554.70000000000005</c:v>
                </c:pt>
                <c:pt idx="13">
                  <c:v>554.70000000000005</c:v>
                </c:pt>
                <c:pt idx="14">
                  <c:v>554.70000000000005</c:v>
                </c:pt>
                <c:pt idx="15">
                  <c:v>554.70000000000005</c:v>
                </c:pt>
                <c:pt idx="16">
                  <c:v>554.70000000000005</c:v>
                </c:pt>
                <c:pt idx="17">
                  <c:v>554.70000000000005</c:v>
                </c:pt>
                <c:pt idx="18">
                  <c:v>1367.3000000000002</c:v>
                </c:pt>
                <c:pt idx="19">
                  <c:v>1367.3000000000002</c:v>
                </c:pt>
              </c:numCache>
            </c:numRef>
          </c:val>
        </c:ser>
        <c:ser>
          <c:idx val="0"/>
          <c:order val="1"/>
          <c:tx>
            <c:v>2017 IRP</c:v>
          </c:tx>
          <c:spPr>
            <a:solidFill>
              <a:srgbClr val="7030A0">
                <a:alpha val="40000"/>
              </a:srgbClr>
            </a:solidFill>
            <a:ln>
              <a:noFill/>
            </a:ln>
            <a:effectLst/>
          </c:spPr>
          <c:invertIfNegative val="0"/>
          <c:val>
            <c:numRef>
              <c:f>'Port 2017 IRP'!$F$40:$Y$40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199.92400000000001</c:v>
                </c:pt>
                <c:pt idx="11">
                  <c:v>199.92400000000001</c:v>
                </c:pt>
                <c:pt idx="12">
                  <c:v>199.92400000000001</c:v>
                </c:pt>
                <c:pt idx="13">
                  <c:v>199.92400000000001</c:v>
                </c:pt>
                <c:pt idx="14">
                  <c:v>399.84800000000001</c:v>
                </c:pt>
                <c:pt idx="15">
                  <c:v>399.84800000000001</c:v>
                </c:pt>
                <c:pt idx="16">
                  <c:v>399.84800000000001</c:v>
                </c:pt>
                <c:pt idx="17">
                  <c:v>399.84800000000001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413216368"/>
        <c:axId val="413933792"/>
      </c:barChart>
      <c:catAx>
        <c:axId val="4132163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933792"/>
        <c:crosses val="autoZero"/>
        <c:auto val="1"/>
        <c:lblAlgn val="ctr"/>
        <c:lblOffset val="100"/>
        <c:noMultiLvlLbl val="0"/>
      </c:catAx>
      <c:valAx>
        <c:axId val="41393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Cumulative 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21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Natural Gas CCCT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2019 IRP</c:v>
          </c:tx>
          <c:spPr>
            <a:solidFill>
              <a:srgbClr val="C525A3"/>
            </a:solidFill>
            <a:ln>
              <a:noFill/>
            </a:ln>
            <a:effectLst/>
          </c:spPr>
          <c:invertIfNegative val="0"/>
          <c:cat>
            <c:numRef>
              <c:f>'Port P45CNW'!$D$55:$W$55</c:f>
              <c:numCache>
                <c:formatCode>General</c:formatCode>
                <c:ptCount val="20"/>
                <c:pt idx="0" formatCode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'Port P45CNW'!$D$41:$W$41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505.2</c:v>
                </c:pt>
                <c:pt idx="19">
                  <c:v>505.2</c:v>
                </c:pt>
              </c:numCache>
            </c:numRef>
          </c:val>
        </c:ser>
        <c:ser>
          <c:idx val="0"/>
          <c:order val="1"/>
          <c:tx>
            <c:v>2017 IRP</c:v>
          </c:tx>
          <c:spPr>
            <a:solidFill>
              <a:srgbClr val="C525A3">
                <a:alpha val="40000"/>
              </a:srgbClr>
            </a:solidFill>
            <a:ln>
              <a:noFill/>
            </a:ln>
            <a:effectLst/>
          </c:spPr>
          <c:invertIfNegative val="0"/>
          <c:val>
            <c:numRef>
              <c:f>'Port 2017 IRP'!$F$41:$Y$41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436.35700000000003</c:v>
                </c:pt>
                <c:pt idx="12">
                  <c:v>436.35700000000003</c:v>
                </c:pt>
                <c:pt idx="13">
                  <c:v>436.35700000000003</c:v>
                </c:pt>
                <c:pt idx="14">
                  <c:v>912.93399999999997</c:v>
                </c:pt>
                <c:pt idx="15">
                  <c:v>912.93399999999997</c:v>
                </c:pt>
                <c:pt idx="16">
                  <c:v>912.93399999999997</c:v>
                </c:pt>
                <c:pt idx="17">
                  <c:v>912.93399999999997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413936536"/>
        <c:axId val="413931048"/>
      </c:barChart>
      <c:catAx>
        <c:axId val="4139365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931048"/>
        <c:crosses val="autoZero"/>
        <c:auto val="1"/>
        <c:lblAlgn val="ctr"/>
        <c:lblOffset val="100"/>
        <c:noMultiLvlLbl val="0"/>
      </c:catAx>
      <c:valAx>
        <c:axId val="413931048"/>
        <c:scaling>
          <c:orientation val="minMax"/>
          <c:max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Cumulative 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936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Energy Efficiency (Class 2 DSM)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2019 IRP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'Port P45CNW'!$D$55:$W$55</c:f>
              <c:numCache>
                <c:formatCode>General</c:formatCode>
                <c:ptCount val="20"/>
                <c:pt idx="0" formatCode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'Port P45CNW'!$D$51:$W$51</c:f>
              <c:numCache>
                <c:formatCode>#,##0_);\(#,##0\)</c:formatCode>
                <c:ptCount val="20"/>
                <c:pt idx="0">
                  <c:v>126</c:v>
                </c:pt>
                <c:pt idx="1">
                  <c:v>258.06</c:v>
                </c:pt>
                <c:pt idx="2">
                  <c:v>390.75</c:v>
                </c:pt>
                <c:pt idx="3">
                  <c:v>533.33000000000004</c:v>
                </c:pt>
                <c:pt idx="4">
                  <c:v>680.07</c:v>
                </c:pt>
                <c:pt idx="5">
                  <c:v>831.13000000000011</c:v>
                </c:pt>
                <c:pt idx="6">
                  <c:v>978.32000000000016</c:v>
                </c:pt>
                <c:pt idx="7">
                  <c:v>1122.3300000000002</c:v>
                </c:pt>
                <c:pt idx="8">
                  <c:v>1265.5900000000001</c:v>
                </c:pt>
                <c:pt idx="9">
                  <c:v>1403.41</c:v>
                </c:pt>
                <c:pt idx="10">
                  <c:v>1529.8100000000002</c:v>
                </c:pt>
                <c:pt idx="11">
                  <c:v>1650.2500000000002</c:v>
                </c:pt>
                <c:pt idx="12">
                  <c:v>1763.7900000000002</c:v>
                </c:pt>
                <c:pt idx="13">
                  <c:v>1873.9300000000003</c:v>
                </c:pt>
                <c:pt idx="14">
                  <c:v>1973.3500000000004</c:v>
                </c:pt>
                <c:pt idx="15">
                  <c:v>2055.1400000000003</c:v>
                </c:pt>
                <c:pt idx="16">
                  <c:v>2132.5100000000002</c:v>
                </c:pt>
                <c:pt idx="17">
                  <c:v>2197.7900000000004</c:v>
                </c:pt>
                <c:pt idx="18">
                  <c:v>2255.8900000000003</c:v>
                </c:pt>
                <c:pt idx="19">
                  <c:v>2315.1200000000003</c:v>
                </c:pt>
              </c:numCache>
            </c:numRef>
          </c:val>
        </c:ser>
        <c:ser>
          <c:idx val="0"/>
          <c:order val="1"/>
          <c:tx>
            <c:v>2017 IRP</c:v>
          </c:tx>
          <c:spPr>
            <a:solidFill>
              <a:schemeClr val="accent2">
                <a:alpha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'Port 2017 IRP'!$F$51:$Y$51</c:f>
              <c:numCache>
                <c:formatCode>#,##0_);\(#,##0\)</c:formatCode>
                <c:ptCount val="20"/>
                <c:pt idx="0">
                  <c:v>131.19</c:v>
                </c:pt>
                <c:pt idx="1">
                  <c:v>252.76999999999998</c:v>
                </c:pt>
                <c:pt idx="2">
                  <c:v>375.52</c:v>
                </c:pt>
                <c:pt idx="3">
                  <c:v>489.58</c:v>
                </c:pt>
                <c:pt idx="4">
                  <c:v>607.44000000000005</c:v>
                </c:pt>
                <c:pt idx="5">
                  <c:v>725.09</c:v>
                </c:pt>
                <c:pt idx="6">
                  <c:v>836.67000000000007</c:v>
                </c:pt>
                <c:pt idx="7">
                  <c:v>947.8900000000001</c:v>
                </c:pt>
                <c:pt idx="8">
                  <c:v>1056.96</c:v>
                </c:pt>
                <c:pt idx="9">
                  <c:v>1158.6600000000001</c:v>
                </c:pt>
                <c:pt idx="10">
                  <c:v>1254.99</c:v>
                </c:pt>
                <c:pt idx="11">
                  <c:v>1350.33</c:v>
                </c:pt>
                <c:pt idx="12">
                  <c:v>1446.53</c:v>
                </c:pt>
                <c:pt idx="13">
                  <c:v>1529.8899999999999</c:v>
                </c:pt>
                <c:pt idx="14">
                  <c:v>1604.4399999999998</c:v>
                </c:pt>
                <c:pt idx="15">
                  <c:v>1669.7699999999998</c:v>
                </c:pt>
                <c:pt idx="16">
                  <c:v>1732.4999999999998</c:v>
                </c:pt>
                <c:pt idx="17">
                  <c:v>1795.2199999999998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413930264"/>
        <c:axId val="413936144"/>
      </c:barChart>
      <c:catAx>
        <c:axId val="4139302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936144"/>
        <c:crosses val="autoZero"/>
        <c:auto val="1"/>
        <c:lblAlgn val="ctr"/>
        <c:lblOffset val="100"/>
        <c:noMultiLvlLbl val="0"/>
      </c:catAx>
      <c:valAx>
        <c:axId val="41393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Cumulative 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930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Direct Load Control (Class 1 DSM)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2019 IRP</c:v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'Port P45CNW'!$D$55:$W$55</c:f>
              <c:numCache>
                <c:formatCode>General</c:formatCode>
                <c:ptCount val="20"/>
                <c:pt idx="0" formatCode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'Port P45CNW'!$D$52:$W$52</c:f>
              <c:numCache>
                <c:formatCode>#,##0_);\(#,##0\)</c:formatCode>
                <c:ptCount val="20"/>
                <c:pt idx="0">
                  <c:v>4.0599999999999996</c:v>
                </c:pt>
                <c:pt idx="1">
                  <c:v>4.0599999999999996</c:v>
                </c:pt>
                <c:pt idx="2">
                  <c:v>11.064</c:v>
                </c:pt>
                <c:pt idx="3">
                  <c:v>11.064</c:v>
                </c:pt>
                <c:pt idx="4">
                  <c:v>29.173999999999999</c:v>
                </c:pt>
                <c:pt idx="5">
                  <c:v>29.173999999999999</c:v>
                </c:pt>
                <c:pt idx="6">
                  <c:v>37.384999999999998</c:v>
                </c:pt>
                <c:pt idx="7">
                  <c:v>44.551000000000002</c:v>
                </c:pt>
                <c:pt idx="8">
                  <c:v>44.551000000000002</c:v>
                </c:pt>
                <c:pt idx="9">
                  <c:v>44.551000000000002</c:v>
                </c:pt>
                <c:pt idx="10">
                  <c:v>177.262</c:v>
                </c:pt>
                <c:pt idx="11">
                  <c:v>185.476</c:v>
                </c:pt>
                <c:pt idx="12">
                  <c:v>185.476</c:v>
                </c:pt>
                <c:pt idx="13">
                  <c:v>197.471</c:v>
                </c:pt>
                <c:pt idx="14">
                  <c:v>197.471</c:v>
                </c:pt>
                <c:pt idx="15">
                  <c:v>197.471</c:v>
                </c:pt>
                <c:pt idx="16">
                  <c:v>212.81399999999999</c:v>
                </c:pt>
                <c:pt idx="17">
                  <c:v>216.46799999999999</c:v>
                </c:pt>
                <c:pt idx="18">
                  <c:v>275.74</c:v>
                </c:pt>
                <c:pt idx="19">
                  <c:v>444.38900000000001</c:v>
                </c:pt>
              </c:numCache>
            </c:numRef>
          </c:val>
        </c:ser>
        <c:ser>
          <c:idx val="0"/>
          <c:order val="1"/>
          <c:tx>
            <c:v>2017 IRP</c:v>
          </c:tx>
          <c:spPr>
            <a:solidFill>
              <a:schemeClr val="accent2">
                <a:lumMod val="50000"/>
                <a:alpha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'Port 2017 IRP'!$F$52:$Y$52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192.81</c:v>
                </c:pt>
                <c:pt idx="10">
                  <c:v>332.35</c:v>
                </c:pt>
                <c:pt idx="11">
                  <c:v>337.1</c:v>
                </c:pt>
                <c:pt idx="12">
                  <c:v>340.44</c:v>
                </c:pt>
                <c:pt idx="13">
                  <c:v>343.8</c:v>
                </c:pt>
                <c:pt idx="14">
                  <c:v>346.91</c:v>
                </c:pt>
                <c:pt idx="15">
                  <c:v>350.58000000000004</c:v>
                </c:pt>
                <c:pt idx="16">
                  <c:v>353.63000000000005</c:v>
                </c:pt>
                <c:pt idx="17">
                  <c:v>365.26000000000005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413934576"/>
        <c:axId val="413936928"/>
      </c:barChart>
      <c:catAx>
        <c:axId val="4139345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936928"/>
        <c:crosses val="autoZero"/>
        <c:auto val="1"/>
        <c:lblAlgn val="ctr"/>
        <c:lblOffset val="100"/>
        <c:noMultiLvlLbl val="0"/>
      </c:catAx>
      <c:valAx>
        <c:axId val="413936928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Cumulative 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934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2019 IRP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'Port P45CNW'!$D$55:$W$55</c:f>
              <c:numCache>
                <c:formatCode>General</c:formatCode>
                <c:ptCount val="20"/>
                <c:pt idx="0" formatCode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'Port P45CNW'!$D$56:$W$56</c:f>
              <c:numCache>
                <c:formatCode>#,##0_);\(#,##0\)</c:formatCode>
                <c:ptCount val="20"/>
                <c:pt idx="0">
                  <c:v>997.76199999999994</c:v>
                </c:pt>
                <c:pt idx="1">
                  <c:v>719.45</c:v>
                </c:pt>
                <c:pt idx="2">
                  <c:v>493</c:v>
                </c:pt>
                <c:pt idx="3">
                  <c:v>502.68</c:v>
                </c:pt>
                <c:pt idx="4">
                  <c:v>497.88</c:v>
                </c:pt>
                <c:pt idx="5">
                  <c:v>130.94999999999999</c:v>
                </c:pt>
                <c:pt idx="6">
                  <c:v>126.44500000000001</c:v>
                </c:pt>
                <c:pt idx="7">
                  <c:v>191.24</c:v>
                </c:pt>
                <c:pt idx="8">
                  <c:v>264</c:v>
                </c:pt>
                <c:pt idx="9">
                  <c:v>1162.54</c:v>
                </c:pt>
                <c:pt idx="10">
                  <c:v>1375</c:v>
                </c:pt>
                <c:pt idx="11">
                  <c:v>1273.6300000000001</c:v>
                </c:pt>
                <c:pt idx="12">
                  <c:v>1248.79</c:v>
                </c:pt>
                <c:pt idx="13">
                  <c:v>1281.31</c:v>
                </c:pt>
                <c:pt idx="14">
                  <c:v>1372.69</c:v>
                </c:pt>
                <c:pt idx="15">
                  <c:v>1375</c:v>
                </c:pt>
                <c:pt idx="16">
                  <c:v>1374.4749999999999</c:v>
                </c:pt>
                <c:pt idx="17">
                  <c:v>1276.5999999999999</c:v>
                </c:pt>
                <c:pt idx="18">
                  <c:v>1374.4749999999999</c:v>
                </c:pt>
                <c:pt idx="19">
                  <c:v>1375</c:v>
                </c:pt>
              </c:numCache>
            </c:numRef>
          </c:val>
        </c:ser>
        <c:ser>
          <c:idx val="0"/>
          <c:order val="1"/>
          <c:tx>
            <c:v>2017 IRP</c:v>
          </c:tx>
          <c:spPr>
            <a:solidFill>
              <a:srgbClr val="00B0F0">
                <a:alpha val="40000"/>
              </a:srgbClr>
            </a:solidFill>
            <a:ln>
              <a:noFill/>
            </a:ln>
            <a:effectLst/>
          </c:spPr>
          <c:invertIfNegative val="0"/>
          <c:val>
            <c:numRef>
              <c:f>'Port 2017 IRP'!$F$56:$Y$56</c:f>
              <c:numCache>
                <c:formatCode>#,##0_);\(#,##0\)</c:formatCode>
                <c:ptCount val="20"/>
                <c:pt idx="0">
                  <c:v>877.87300000000005</c:v>
                </c:pt>
                <c:pt idx="1">
                  <c:v>807.39</c:v>
                </c:pt>
                <c:pt idx="2">
                  <c:v>799.14100000000008</c:v>
                </c:pt>
                <c:pt idx="3">
                  <c:v>915.63900000000001</c:v>
                </c:pt>
                <c:pt idx="4">
                  <c:v>844.20600000000002</c:v>
                </c:pt>
                <c:pt idx="5">
                  <c:v>884.80899999999997</c:v>
                </c:pt>
                <c:pt idx="6">
                  <c:v>1042.1289999999999</c:v>
                </c:pt>
                <c:pt idx="7">
                  <c:v>978.16599999999994</c:v>
                </c:pt>
                <c:pt idx="8">
                  <c:v>1039.568</c:v>
                </c:pt>
                <c:pt idx="9">
                  <c:v>1575</c:v>
                </c:pt>
                <c:pt idx="10">
                  <c:v>1575</c:v>
                </c:pt>
                <c:pt idx="11">
                  <c:v>1565.675</c:v>
                </c:pt>
                <c:pt idx="12">
                  <c:v>1575</c:v>
                </c:pt>
                <c:pt idx="13">
                  <c:v>1575</c:v>
                </c:pt>
                <c:pt idx="14">
                  <c:v>1575</c:v>
                </c:pt>
                <c:pt idx="15">
                  <c:v>1575</c:v>
                </c:pt>
                <c:pt idx="16">
                  <c:v>1575</c:v>
                </c:pt>
                <c:pt idx="17">
                  <c:v>1538.607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413933008"/>
        <c:axId val="413935752"/>
      </c:barChart>
      <c:catAx>
        <c:axId val="4139330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935752"/>
        <c:crosses val="autoZero"/>
        <c:auto val="1"/>
        <c:lblAlgn val="ctr"/>
        <c:lblOffset val="100"/>
        <c:noMultiLvlLbl val="0"/>
      </c:catAx>
      <c:valAx>
        <c:axId val="413935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Cumulative 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933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2019 IRP</c:v>
          </c:tx>
          <c:spPr>
            <a:solidFill>
              <a:srgbClr val="007FAC"/>
            </a:solidFill>
            <a:ln>
              <a:noFill/>
            </a:ln>
            <a:effectLst/>
          </c:spPr>
          <c:invertIfNegative val="0"/>
          <c:cat>
            <c:numRef>
              <c:f>'Port P45CNW'!$D$55:$W$55</c:f>
              <c:numCache>
                <c:formatCode>General</c:formatCode>
                <c:ptCount val="20"/>
                <c:pt idx="0" formatCode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'Port P45CNW'!$D$57:$W$57</c:f>
              <c:numCache>
                <c:formatCode>#,##0_);\(#,##0\)</c:formatCode>
                <c:ptCount val="20"/>
                <c:pt idx="0">
                  <c:v>151.44499999999999</c:v>
                </c:pt>
                <c:pt idx="1">
                  <c:v>130.95999999999998</c:v>
                </c:pt>
                <c:pt idx="2">
                  <c:v>268.48</c:v>
                </c:pt>
                <c:pt idx="3">
                  <c:v>303.32</c:v>
                </c:pt>
                <c:pt idx="4">
                  <c:v>314</c:v>
                </c:pt>
                <c:pt idx="5">
                  <c:v>44.274999999999999</c:v>
                </c:pt>
                <c:pt idx="6">
                  <c:v>50.8</c:v>
                </c:pt>
                <c:pt idx="7">
                  <c:v>52.575000000000003</c:v>
                </c:pt>
                <c:pt idx="8">
                  <c:v>99.65</c:v>
                </c:pt>
                <c:pt idx="9">
                  <c:v>231.56</c:v>
                </c:pt>
                <c:pt idx="10">
                  <c:v>222.2</c:v>
                </c:pt>
                <c:pt idx="11">
                  <c:v>172.97000000000003</c:v>
                </c:pt>
                <c:pt idx="12">
                  <c:v>191.99</c:v>
                </c:pt>
                <c:pt idx="13">
                  <c:v>128.03</c:v>
                </c:pt>
                <c:pt idx="14">
                  <c:v>62.76</c:v>
                </c:pt>
                <c:pt idx="15">
                  <c:v>0</c:v>
                </c:pt>
                <c:pt idx="16">
                  <c:v>35.4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1"/>
          <c:tx>
            <c:v>2017 IRP</c:v>
          </c:tx>
          <c:spPr>
            <a:solidFill>
              <a:srgbClr val="0070C0">
                <a:alpha val="40000"/>
              </a:srgbClr>
            </a:solidFill>
            <a:ln>
              <a:noFill/>
            </a:ln>
            <a:effectLst/>
          </c:spPr>
          <c:invertIfNegative val="0"/>
          <c:val>
            <c:numRef>
              <c:f>'Port 2017 IRP'!$F$57:$Y$57</c:f>
              <c:numCache>
                <c:formatCode>#,##0_);\(#,##0\)</c:formatCode>
                <c:ptCount val="20"/>
                <c:pt idx="0">
                  <c:v>272.65499999999997</c:v>
                </c:pt>
                <c:pt idx="1">
                  <c:v>307.34800000000001</c:v>
                </c:pt>
                <c:pt idx="2">
                  <c:v>319.30799999999999</c:v>
                </c:pt>
                <c:pt idx="3">
                  <c:v>307.57900000000001</c:v>
                </c:pt>
                <c:pt idx="4">
                  <c:v>305.923</c:v>
                </c:pt>
                <c:pt idx="5">
                  <c:v>287.03100000000001</c:v>
                </c:pt>
                <c:pt idx="6">
                  <c:v>347.536</c:v>
                </c:pt>
                <c:pt idx="7">
                  <c:v>351.096</c:v>
                </c:pt>
                <c:pt idx="8">
                  <c:v>296.75700000000001</c:v>
                </c:pt>
                <c:pt idx="9">
                  <c:v>412.488</c:v>
                </c:pt>
                <c:pt idx="10">
                  <c:v>550.63900000000001</c:v>
                </c:pt>
                <c:pt idx="11">
                  <c:v>515.57100000000003</c:v>
                </c:pt>
                <c:pt idx="12">
                  <c:v>490.202</c:v>
                </c:pt>
                <c:pt idx="13">
                  <c:v>450.65800000000002</c:v>
                </c:pt>
                <c:pt idx="14">
                  <c:v>436.584</c:v>
                </c:pt>
                <c:pt idx="15">
                  <c:v>477.03399999999999</c:v>
                </c:pt>
                <c:pt idx="16">
                  <c:v>479.41199999999998</c:v>
                </c:pt>
                <c:pt idx="17">
                  <c:v>766.37799999999993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413935360"/>
        <c:axId val="413933400"/>
      </c:barChart>
      <c:catAx>
        <c:axId val="4139353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933400"/>
        <c:crosses val="autoZero"/>
        <c:auto val="1"/>
        <c:lblAlgn val="ctr"/>
        <c:lblOffset val="100"/>
        <c:noMultiLvlLbl val="0"/>
      </c:catAx>
      <c:valAx>
        <c:axId val="413933400"/>
        <c:scaling>
          <c:orientation val="minMax"/>
          <c:max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Cumulative 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93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2019 IRP</c:v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numRef>
              <c:f>'Port P45CNW'!$D$55:$W$55</c:f>
              <c:numCache>
                <c:formatCode>General</c:formatCode>
                <c:ptCount val="20"/>
                <c:pt idx="0" formatCode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'Port P45CNW'!$D$8:$W$8</c:f>
              <c:numCache>
                <c:formatCode>#,##0_);\(#,##0\)</c:formatCode>
                <c:ptCount val="20"/>
                <c:pt idx="0">
                  <c:v>0</c:v>
                </c:pt>
                <c:pt idx="1">
                  <c:v>-280</c:v>
                </c:pt>
                <c:pt idx="2">
                  <c:v>-667</c:v>
                </c:pt>
                <c:pt idx="3">
                  <c:v>-667</c:v>
                </c:pt>
                <c:pt idx="4">
                  <c:v>-667</c:v>
                </c:pt>
                <c:pt idx="5">
                  <c:v>-1017.5</c:v>
                </c:pt>
                <c:pt idx="6">
                  <c:v>-1017.5</c:v>
                </c:pt>
                <c:pt idx="7">
                  <c:v>-1456.8</c:v>
                </c:pt>
                <c:pt idx="8">
                  <c:v>-1538.3</c:v>
                </c:pt>
                <c:pt idx="9">
                  <c:v>-2441.3000000000002</c:v>
                </c:pt>
                <c:pt idx="10">
                  <c:v>-2797.1000000000004</c:v>
                </c:pt>
                <c:pt idx="11">
                  <c:v>-2797.1000000000004</c:v>
                </c:pt>
                <c:pt idx="12">
                  <c:v>-2873.7000000000003</c:v>
                </c:pt>
                <c:pt idx="13">
                  <c:v>-2873.7000000000003</c:v>
                </c:pt>
                <c:pt idx="14">
                  <c:v>-2873.7000000000003</c:v>
                </c:pt>
                <c:pt idx="15">
                  <c:v>-2873.7000000000003</c:v>
                </c:pt>
                <c:pt idx="16">
                  <c:v>-2873.7000000000003</c:v>
                </c:pt>
                <c:pt idx="17">
                  <c:v>-2873.7000000000003</c:v>
                </c:pt>
                <c:pt idx="18">
                  <c:v>-3782.7000000000003</c:v>
                </c:pt>
                <c:pt idx="19">
                  <c:v>-4484.7000000000007</c:v>
                </c:pt>
              </c:numCache>
            </c:numRef>
          </c:val>
        </c:ser>
        <c:ser>
          <c:idx val="0"/>
          <c:order val="1"/>
          <c:tx>
            <c:v>2017 IRP</c:v>
          </c:tx>
          <c:spPr>
            <a:solidFill>
              <a:schemeClr val="tx1">
                <a:lumMod val="65000"/>
                <a:lumOff val="35000"/>
                <a:alpha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'Port 2017 IRP'!$F$8:$Y$8</c:f>
              <c:numCache>
                <c:formatCode>#,##0_);\(#,##0\)</c:formatCode>
                <c:ptCount val="20"/>
                <c:pt idx="0">
                  <c:v>-280</c:v>
                </c:pt>
                <c:pt idx="1">
                  <c:v>-280</c:v>
                </c:pt>
                <c:pt idx="2">
                  <c:v>-667</c:v>
                </c:pt>
                <c:pt idx="3">
                  <c:v>-667</c:v>
                </c:pt>
                <c:pt idx="4">
                  <c:v>-667</c:v>
                </c:pt>
                <c:pt idx="5">
                  <c:v>-667</c:v>
                </c:pt>
                <c:pt idx="6">
                  <c:v>-667</c:v>
                </c:pt>
                <c:pt idx="7">
                  <c:v>-749.3</c:v>
                </c:pt>
                <c:pt idx="8">
                  <c:v>-749.3</c:v>
                </c:pt>
                <c:pt idx="9">
                  <c:v>-1511.3</c:v>
                </c:pt>
                <c:pt idx="10">
                  <c:v>-1865.3</c:v>
                </c:pt>
                <c:pt idx="11">
                  <c:v>-2222.3000000000002</c:v>
                </c:pt>
                <c:pt idx="12">
                  <c:v>-2300.0800000000004</c:v>
                </c:pt>
                <c:pt idx="13">
                  <c:v>-2300.0800000000004</c:v>
                </c:pt>
                <c:pt idx="14">
                  <c:v>-2659.3800000000006</c:v>
                </c:pt>
                <c:pt idx="15">
                  <c:v>-2659.3800000000006</c:v>
                </c:pt>
                <c:pt idx="16">
                  <c:v>-2740.9200000000005</c:v>
                </c:pt>
                <c:pt idx="17">
                  <c:v>-2740.9200000000005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413932224"/>
        <c:axId val="413934184"/>
      </c:barChart>
      <c:catAx>
        <c:axId val="4139322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934184"/>
        <c:crosses val="autoZero"/>
        <c:auto val="1"/>
        <c:lblAlgn val="ctr"/>
        <c:lblOffset val="100"/>
        <c:noMultiLvlLbl val="0"/>
      </c:catAx>
      <c:valAx>
        <c:axId val="41393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Cumulative 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93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CO2 Emissions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2019 IRP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'Port P45CNW'!$D$55:$W$55</c:f>
              <c:numCache>
                <c:formatCode>General</c:formatCode>
                <c:ptCount val="20"/>
                <c:pt idx="0" formatCode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Emissions!$H$4:$H$23</c:f>
              <c:numCache>
                <c:formatCode>General</c:formatCode>
                <c:ptCount val="20"/>
                <c:pt idx="0">
                  <c:v>43.127769999999998</c:v>
                </c:pt>
                <c:pt idx="1">
                  <c:v>41.561219999999999</c:v>
                </c:pt>
                <c:pt idx="2">
                  <c:v>38.353910000000006</c:v>
                </c:pt>
                <c:pt idx="3">
                  <c:v>40.097110000000001</c:v>
                </c:pt>
                <c:pt idx="4">
                  <c:v>41.662879999999994</c:v>
                </c:pt>
                <c:pt idx="5">
                  <c:v>35.672050000000006</c:v>
                </c:pt>
                <c:pt idx="6">
                  <c:v>33.477160000000005</c:v>
                </c:pt>
                <c:pt idx="7">
                  <c:v>32.58202</c:v>
                </c:pt>
                <c:pt idx="8">
                  <c:v>31.439070000000001</c:v>
                </c:pt>
                <c:pt idx="9">
                  <c:v>26.379360000000002</c:v>
                </c:pt>
                <c:pt idx="10">
                  <c:v>25.296189999999999</c:v>
                </c:pt>
                <c:pt idx="11">
                  <c:v>23.629090000000001</c:v>
                </c:pt>
                <c:pt idx="12">
                  <c:v>23.519470000000002</c:v>
                </c:pt>
                <c:pt idx="13">
                  <c:v>23.051299999999998</c:v>
                </c:pt>
                <c:pt idx="14">
                  <c:v>22.9147</c:v>
                </c:pt>
                <c:pt idx="15">
                  <c:v>22.60492</c:v>
                </c:pt>
                <c:pt idx="16">
                  <c:v>21.771909999999998</c:v>
                </c:pt>
                <c:pt idx="17">
                  <c:v>22.092009999999998</c:v>
                </c:pt>
                <c:pt idx="18">
                  <c:v>19.740110000000001</c:v>
                </c:pt>
                <c:pt idx="19">
                  <c:v>16.668980000000001</c:v>
                </c:pt>
              </c:numCache>
            </c:numRef>
          </c:val>
        </c:ser>
        <c:ser>
          <c:idx val="0"/>
          <c:order val="1"/>
          <c:tx>
            <c:v>2017 IRP</c:v>
          </c:tx>
          <c:spPr>
            <a:solidFill>
              <a:schemeClr val="accent1">
                <a:lumMod val="75000"/>
                <a:alpha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Emissions!$I$4:$I$23</c:f>
              <c:numCache>
                <c:formatCode>General</c:formatCode>
                <c:ptCount val="20"/>
                <c:pt idx="0">
                  <c:v>41.313019999999995</c:v>
                </c:pt>
                <c:pt idx="1">
                  <c:v>42.301459999999999</c:v>
                </c:pt>
                <c:pt idx="2">
                  <c:v>37.229339999999993</c:v>
                </c:pt>
                <c:pt idx="3">
                  <c:v>38.327089999999998</c:v>
                </c:pt>
                <c:pt idx="4">
                  <c:v>40.006999999999998</c:v>
                </c:pt>
                <c:pt idx="5">
                  <c:v>39.430750000000003</c:v>
                </c:pt>
                <c:pt idx="6">
                  <c:v>39.65896</c:v>
                </c:pt>
                <c:pt idx="7">
                  <c:v>38.672460000000001</c:v>
                </c:pt>
                <c:pt idx="8">
                  <c:v>38.241219999999998</c:v>
                </c:pt>
                <c:pt idx="9">
                  <c:v>35.968489999999996</c:v>
                </c:pt>
                <c:pt idx="10">
                  <c:v>37.112790000000004</c:v>
                </c:pt>
                <c:pt idx="11">
                  <c:v>35.744160000000001</c:v>
                </c:pt>
                <c:pt idx="12">
                  <c:v>35.290930000000003</c:v>
                </c:pt>
                <c:pt idx="13">
                  <c:v>35.405540000000002</c:v>
                </c:pt>
                <c:pt idx="14">
                  <c:v>33.968040000000002</c:v>
                </c:pt>
                <c:pt idx="15">
                  <c:v>34.471699999999998</c:v>
                </c:pt>
                <c:pt idx="16">
                  <c:v>33.268749999999997</c:v>
                </c:pt>
                <c:pt idx="17">
                  <c:v>33.100149999999999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414191064"/>
        <c:axId val="414198120"/>
      </c:barChart>
      <c:catAx>
        <c:axId val="4141910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198120"/>
        <c:crosses val="autoZero"/>
        <c:auto val="1"/>
        <c:lblAlgn val="ctr"/>
        <c:lblOffset val="100"/>
        <c:noMultiLvlLbl val="0"/>
      </c:catAx>
      <c:valAx>
        <c:axId val="414198120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Million Tons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191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PacifiCorp CO2 Emissions Trajectory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PacifiCorp Emissions (Million ST)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40"/>
              <c:pt idx="0">
                <c:v>2011</c:v>
              </c:pt>
              <c:pt idx="1">
                <c:v>2012</c:v>
              </c:pt>
              <c:pt idx="2">
                <c:v>2013</c:v>
              </c:pt>
              <c:pt idx="3">
                <c:v>2014</c:v>
              </c:pt>
              <c:pt idx="4">
                <c:v>2015</c:v>
              </c:pt>
              <c:pt idx="5">
                <c:v>2016</c:v>
              </c:pt>
              <c:pt idx="6">
                <c:v>2017</c:v>
              </c:pt>
              <c:pt idx="7">
                <c:v>2018</c:v>
              </c:pt>
              <c:pt idx="8">
                <c:v>2019</c:v>
              </c:pt>
              <c:pt idx="9">
                <c:v>2020</c:v>
              </c:pt>
              <c:pt idx="10">
                <c:v>2021</c:v>
              </c:pt>
              <c:pt idx="11">
                <c:v>2022</c:v>
              </c:pt>
              <c:pt idx="12">
                <c:v>2023</c:v>
              </c:pt>
              <c:pt idx="13">
                <c:v>2024</c:v>
              </c:pt>
              <c:pt idx="14">
                <c:v>2025</c:v>
              </c:pt>
              <c:pt idx="15">
                <c:v>2026</c:v>
              </c:pt>
              <c:pt idx="16">
                <c:v>2027</c:v>
              </c:pt>
              <c:pt idx="17">
                <c:v>2028</c:v>
              </c:pt>
              <c:pt idx="18">
                <c:v>2029</c:v>
              </c:pt>
              <c:pt idx="19">
                <c:v>2030</c:v>
              </c:pt>
              <c:pt idx="20">
                <c:v>2031</c:v>
              </c:pt>
              <c:pt idx="21">
                <c:v>2032</c:v>
              </c:pt>
              <c:pt idx="22">
                <c:v>2033</c:v>
              </c:pt>
              <c:pt idx="23">
                <c:v>2034</c:v>
              </c:pt>
              <c:pt idx="24">
                <c:v>2035</c:v>
              </c:pt>
              <c:pt idx="25">
                <c:v>2036</c:v>
              </c:pt>
              <c:pt idx="26">
                <c:v>2037</c:v>
              </c:pt>
              <c:pt idx="27">
                <c:v>2038</c:v>
              </c:pt>
              <c:pt idx="28">
                <c:v>2039</c:v>
              </c:pt>
              <c:pt idx="29">
                <c:v>2040</c:v>
              </c:pt>
              <c:pt idx="30">
                <c:v>2041</c:v>
              </c:pt>
              <c:pt idx="31">
                <c:v>2042</c:v>
              </c:pt>
              <c:pt idx="32">
                <c:v>2043</c:v>
              </c:pt>
              <c:pt idx="33">
                <c:v>2044</c:v>
              </c:pt>
              <c:pt idx="34">
                <c:v>2045</c:v>
              </c:pt>
              <c:pt idx="35">
                <c:v>2046</c:v>
              </c:pt>
              <c:pt idx="36">
                <c:v>2047</c:v>
              </c:pt>
              <c:pt idx="37">
                <c:v>2048</c:v>
              </c:pt>
              <c:pt idx="38">
                <c:v>2049</c:v>
              </c:pt>
              <c:pt idx="39">
                <c:v>2050</c:v>
              </c:pt>
            </c:numLit>
          </c:cat>
          <c:val>
            <c:numLit>
              <c:formatCode>General</c:formatCode>
              <c:ptCount val="40"/>
              <c:pt idx="0">
                <c:v>57.647647494150682</c:v>
              </c:pt>
              <c:pt idx="1">
                <c:v>59.174348262082567</c:v>
              </c:pt>
              <c:pt idx="2">
                <c:v>59.732573786250001</c:v>
              </c:pt>
              <c:pt idx="3">
                <c:v>57.315776523794639</c:v>
              </c:pt>
              <c:pt idx="4">
                <c:v>54.227657261804914</c:v>
              </c:pt>
              <c:pt idx="5">
                <c:v>51.522217327165976</c:v>
              </c:pt>
              <c:pt idx="6">
                <c:v>51.418602164763094</c:v>
              </c:pt>
              <c:pt idx="7">
                <c:v>52.525247061255762</c:v>
              </c:pt>
              <c:pt idx="8">
                <c:v>51.641506969238115</c:v>
              </c:pt>
              <c:pt idx="9">
                <c:v>44.364237252000002</c:v>
              </c:pt>
              <c:pt idx="10">
                <c:v>40.195812008000004</c:v>
              </c:pt>
              <c:pt idx="11">
                <c:v>41.705784768000001</c:v>
              </c:pt>
              <c:pt idx="12">
                <c:v>42.953036195999999</c:v>
              </c:pt>
              <c:pt idx="13">
                <c:v>36.196327004000004</c:v>
              </c:pt>
              <c:pt idx="14">
                <c:v>34.428744500000008</c:v>
              </c:pt>
              <c:pt idx="15">
                <c:v>33.51597774799999</c:v>
              </c:pt>
              <c:pt idx="16">
                <c:v>32.356517375999999</c:v>
              </c:pt>
              <c:pt idx="17">
                <c:v>27.840071743999996</c:v>
              </c:pt>
              <c:pt idx="18">
                <c:v>26.839214044000002</c:v>
              </c:pt>
              <c:pt idx="19">
                <c:v>24.907156052000005</c:v>
              </c:pt>
              <c:pt idx="20">
                <c:v>24.861816127999997</c:v>
              </c:pt>
              <c:pt idx="21">
                <c:v>24.482509627999999</c:v>
              </c:pt>
              <c:pt idx="22">
                <c:v>24.257342147999999</c:v>
              </c:pt>
              <c:pt idx="23">
                <c:v>24.099498140000005</c:v>
              </c:pt>
              <c:pt idx="24">
                <c:v>23.360549272</c:v>
              </c:pt>
              <c:pt idx="25">
                <c:v>23.920541287999999</c:v>
              </c:pt>
              <c:pt idx="26">
                <c:v>21.58812124</c:v>
              </c:pt>
              <c:pt idx="27">
                <c:v>18.700547327999999</c:v>
              </c:pt>
              <c:pt idx="28">
                <c:v>17.086129782000004</c:v>
              </c:pt>
              <c:pt idx="29">
                <c:v>15.4882767845</c:v>
              </c:pt>
              <c:pt idx="30">
                <c:v>15.941268158625</c:v>
              </c:pt>
              <c:pt idx="31">
                <c:v>15.810447388281251</c:v>
              </c:pt>
              <c:pt idx="32">
                <c:v>10.069468584992187</c:v>
              </c:pt>
              <c:pt idx="33">
                <c:v>8.7967214620097653</c:v>
              </c:pt>
              <c:pt idx="34">
                <c:v>8.8443723188872081</c:v>
              </c:pt>
              <c:pt idx="35">
                <c:v>7.4096850532886975</c:v>
              </c:pt>
              <c:pt idx="36">
                <c:v>7.3889403875093089</c:v>
              </c:pt>
              <c:pt idx="37">
                <c:v>5.8682527353687366</c:v>
              </c:pt>
              <c:pt idx="38">
                <c:v>5.8710987305883631</c:v>
              </c:pt>
              <c:pt idx="39">
                <c:v>5.8620991093010053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414191456"/>
        <c:axId val="414196552"/>
      </c:barChart>
      <c:lineChart>
        <c:grouping val="standard"/>
        <c:varyColors val="0"/>
        <c:ser>
          <c:idx val="2"/>
          <c:order val="1"/>
          <c:tx>
            <c:v>2005 Base Emission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40"/>
              <c:pt idx="0">
                <c:v>2011</c:v>
              </c:pt>
              <c:pt idx="1">
                <c:v>2012</c:v>
              </c:pt>
              <c:pt idx="2">
                <c:v>2013</c:v>
              </c:pt>
              <c:pt idx="3">
                <c:v>2014</c:v>
              </c:pt>
              <c:pt idx="4">
                <c:v>2015</c:v>
              </c:pt>
              <c:pt idx="5">
                <c:v>2016</c:v>
              </c:pt>
              <c:pt idx="6">
                <c:v>2017</c:v>
              </c:pt>
              <c:pt idx="7">
                <c:v>2018</c:v>
              </c:pt>
              <c:pt idx="8">
                <c:v>2019</c:v>
              </c:pt>
              <c:pt idx="9">
                <c:v>2020</c:v>
              </c:pt>
              <c:pt idx="10">
                <c:v>2021</c:v>
              </c:pt>
              <c:pt idx="11">
                <c:v>2022</c:v>
              </c:pt>
              <c:pt idx="12">
                <c:v>2023</c:v>
              </c:pt>
              <c:pt idx="13">
                <c:v>2024</c:v>
              </c:pt>
              <c:pt idx="14">
                <c:v>2025</c:v>
              </c:pt>
              <c:pt idx="15">
                <c:v>2026</c:v>
              </c:pt>
              <c:pt idx="16">
                <c:v>2027</c:v>
              </c:pt>
              <c:pt idx="17">
                <c:v>2028</c:v>
              </c:pt>
              <c:pt idx="18">
                <c:v>2029</c:v>
              </c:pt>
              <c:pt idx="19">
                <c:v>2030</c:v>
              </c:pt>
              <c:pt idx="20">
                <c:v>2031</c:v>
              </c:pt>
              <c:pt idx="21">
                <c:v>2032</c:v>
              </c:pt>
              <c:pt idx="22">
                <c:v>2033</c:v>
              </c:pt>
              <c:pt idx="23">
                <c:v>2034</c:v>
              </c:pt>
              <c:pt idx="24">
                <c:v>2035</c:v>
              </c:pt>
              <c:pt idx="25">
                <c:v>2036</c:v>
              </c:pt>
              <c:pt idx="26">
                <c:v>2037</c:v>
              </c:pt>
              <c:pt idx="27">
                <c:v>2038</c:v>
              </c:pt>
              <c:pt idx="28">
                <c:v>2039</c:v>
              </c:pt>
              <c:pt idx="29">
                <c:v>2040</c:v>
              </c:pt>
              <c:pt idx="30">
                <c:v>2041</c:v>
              </c:pt>
              <c:pt idx="31">
                <c:v>2042</c:v>
              </c:pt>
              <c:pt idx="32">
                <c:v>2043</c:v>
              </c:pt>
              <c:pt idx="33">
                <c:v>2044</c:v>
              </c:pt>
              <c:pt idx="34">
                <c:v>2045</c:v>
              </c:pt>
              <c:pt idx="35">
                <c:v>2046</c:v>
              </c:pt>
              <c:pt idx="36">
                <c:v>2047</c:v>
              </c:pt>
              <c:pt idx="37">
                <c:v>2048</c:v>
              </c:pt>
              <c:pt idx="38">
                <c:v>2049</c:v>
              </c:pt>
              <c:pt idx="39">
                <c:v>2050</c:v>
              </c:pt>
            </c:numLit>
          </c:cat>
          <c:val>
            <c:numLit>
              <c:formatCode>General</c:formatCode>
              <c:ptCount val="40"/>
              <c:pt idx="0">
                <c:v>60.169730677080814</c:v>
              </c:pt>
              <c:pt idx="1">
                <c:v>60.169730677080814</c:v>
              </c:pt>
              <c:pt idx="2">
                <c:v>60.169730677080814</c:v>
              </c:pt>
              <c:pt idx="3">
                <c:v>60.169730677080814</c:v>
              </c:pt>
              <c:pt idx="4">
                <c:v>60.169730677080814</c:v>
              </c:pt>
              <c:pt idx="5">
                <c:v>60.169730677080814</c:v>
              </c:pt>
              <c:pt idx="6">
                <c:v>60.169730677080814</c:v>
              </c:pt>
              <c:pt idx="7">
                <c:v>60.169730677080814</c:v>
              </c:pt>
              <c:pt idx="8">
                <c:v>60.169730677080814</c:v>
              </c:pt>
              <c:pt idx="9">
                <c:v>60.169730677080814</c:v>
              </c:pt>
              <c:pt idx="10">
                <c:v>60.169730677080814</c:v>
              </c:pt>
              <c:pt idx="11">
                <c:v>60.169730677080814</c:v>
              </c:pt>
              <c:pt idx="12">
                <c:v>60.169730677080814</c:v>
              </c:pt>
              <c:pt idx="13">
                <c:v>60.169730677080814</c:v>
              </c:pt>
              <c:pt idx="14">
                <c:v>60.169730677080814</c:v>
              </c:pt>
              <c:pt idx="15">
                <c:v>60.169730677080814</c:v>
              </c:pt>
              <c:pt idx="16">
                <c:v>60.169730677080814</c:v>
              </c:pt>
              <c:pt idx="17">
                <c:v>60.169730677080814</c:v>
              </c:pt>
              <c:pt idx="18">
                <c:v>60.169730677080814</c:v>
              </c:pt>
              <c:pt idx="19">
                <c:v>60.169730677080814</c:v>
              </c:pt>
              <c:pt idx="20">
                <c:v>60.169730677080814</c:v>
              </c:pt>
              <c:pt idx="21">
                <c:v>60.169730677080814</c:v>
              </c:pt>
              <c:pt idx="22">
                <c:v>60.169730677080814</c:v>
              </c:pt>
              <c:pt idx="23">
                <c:v>60.169730677080814</c:v>
              </c:pt>
              <c:pt idx="24">
                <c:v>60.169730677080814</c:v>
              </c:pt>
              <c:pt idx="25">
                <c:v>60.169730677080814</c:v>
              </c:pt>
              <c:pt idx="26">
                <c:v>60.169730677080814</c:v>
              </c:pt>
              <c:pt idx="27">
                <c:v>60.169730677080814</c:v>
              </c:pt>
              <c:pt idx="28">
                <c:v>60.169730677080814</c:v>
              </c:pt>
              <c:pt idx="29">
                <c:v>60.169730677080814</c:v>
              </c:pt>
              <c:pt idx="30">
                <c:v>60.169730677080814</c:v>
              </c:pt>
              <c:pt idx="31">
                <c:v>60.169730677080814</c:v>
              </c:pt>
              <c:pt idx="32">
                <c:v>60.169730677080814</c:v>
              </c:pt>
              <c:pt idx="33">
                <c:v>60.169730677080814</c:v>
              </c:pt>
              <c:pt idx="34">
                <c:v>60.169730677080814</c:v>
              </c:pt>
              <c:pt idx="35">
                <c:v>60.169730677080814</c:v>
              </c:pt>
              <c:pt idx="36">
                <c:v>60.169730677080814</c:v>
              </c:pt>
              <c:pt idx="37">
                <c:v>60.169730677080814</c:v>
              </c:pt>
              <c:pt idx="38">
                <c:v>60.169730677080814</c:v>
              </c:pt>
              <c:pt idx="39">
                <c:v>60.169730677080814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191456"/>
        <c:axId val="414196552"/>
      </c:lineChart>
      <c:lineChart>
        <c:grouping val="standard"/>
        <c:varyColors val="0"/>
        <c:ser>
          <c:idx val="3"/>
          <c:order val="2"/>
          <c:tx>
            <c:v>PAC % Reduction from Base</c:v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40"/>
              <c:pt idx="0">
                <c:v>4.1916145453029574E-2</c:v>
              </c:pt>
              <c:pt idx="1">
                <c:v>1.6542909595860911E-2</c:v>
              </c:pt>
              <c:pt idx="2">
                <c:v>7.2653955055399511E-3</c:v>
              </c:pt>
              <c:pt idx="3">
                <c:v>4.7431725573158889E-2</c:v>
              </c:pt>
              <c:pt idx="4">
                <c:v>9.875519382271869E-2</c:v>
              </c:pt>
              <c:pt idx="5">
                <c:v>0.1437186647273585</c:v>
              </c:pt>
              <c:pt idx="6">
                <c:v>0.14544071269461578</c:v>
              </c:pt>
              <c:pt idx="7">
                <c:v>0.12704865934752974</c:v>
              </c:pt>
              <c:pt idx="8">
                <c:v>0.14173611235875405</c:v>
              </c:pt>
              <c:pt idx="9">
                <c:v>0.26268180440936006</c:v>
              </c:pt>
              <c:pt idx="10">
                <c:v>0.33195958240659129</c:v>
              </c:pt>
              <c:pt idx="11">
                <c:v>0.30686436022413333</c:v>
              </c:pt>
              <c:pt idx="12">
                <c:v>0.2861354752189178</c:v>
              </c:pt>
              <c:pt idx="13">
                <c:v>0.39842963236351148</c:v>
              </c:pt>
              <c:pt idx="14">
                <c:v>0.42780623890819203</c:v>
              </c:pt>
              <c:pt idx="15">
                <c:v>0.44297610491438477</c:v>
              </c:pt>
              <c:pt idx="16">
                <c:v>0.46224593309797068</c:v>
              </c:pt>
              <c:pt idx="17">
                <c:v>0.53730768892065983</c:v>
              </c:pt>
              <c:pt idx="18">
                <c:v>0.55394159584923486</c:v>
              </c:pt>
              <c:pt idx="19">
                <c:v>0.58605172780859127</c:v>
              </c:pt>
              <c:pt idx="20">
                <c:v>0.58680526157864143</c:v>
              </c:pt>
              <c:pt idx="21">
                <c:v>0.59310920370588249</c:v>
              </c:pt>
              <c:pt idx="22">
                <c:v>0.5968514089221304</c:v>
              </c:pt>
              <c:pt idx="23">
                <c:v>0.59947472144528446</c:v>
              </c:pt>
              <c:pt idx="24">
                <c:v>0.61175579466407282</c:v>
              </c:pt>
              <c:pt idx="25">
                <c:v>0.6024489220937872</c:v>
              </c:pt>
              <c:pt idx="26">
                <c:v>0.64121293219909481</c:v>
              </c:pt>
              <c:pt idx="27">
                <c:v>0.68920340647090184</c:v>
              </c:pt>
              <c:pt idx="28">
                <c:v>0.71603446467630172</c:v>
              </c:pt>
              <c:pt idx="29">
                <c:v>0.7425902258459065</c:v>
              </c:pt>
              <c:pt idx="30">
                <c:v>0.73506166673441387</c:v>
              </c:pt>
              <c:pt idx="31">
                <c:v>0.7372358624449753</c:v>
              </c:pt>
              <c:pt idx="32">
                <c:v>0.83264893374655347</c:v>
              </c:pt>
              <c:pt idx="33">
                <c:v>0.85380154833632127</c:v>
              </c:pt>
              <c:pt idx="34">
                <c:v>0.85300960766546841</c:v>
              </c:pt>
              <c:pt idx="35">
                <c:v>0.87685361111129068</c:v>
              </c:pt>
              <c:pt idx="36">
                <c:v>0.87719838024264551</c:v>
              </c:pt>
              <c:pt idx="37">
                <c:v>0.90247168020640645</c:v>
              </c:pt>
              <c:pt idx="38">
                <c:v>0.90242438075554299</c:v>
              </c:pt>
              <c:pt idx="39">
                <c:v>0.90257395133174612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193416"/>
        <c:axId val="414193808"/>
      </c:lineChart>
      <c:catAx>
        <c:axId val="41419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196552"/>
        <c:crosses val="autoZero"/>
        <c:auto val="1"/>
        <c:lblAlgn val="ctr"/>
        <c:lblOffset val="100"/>
        <c:noMultiLvlLbl val="0"/>
      </c:catAx>
      <c:valAx>
        <c:axId val="414196552"/>
        <c:scaling>
          <c:orientation val="minMax"/>
          <c:max val="6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Million Tons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191456"/>
        <c:crosses val="autoZero"/>
        <c:crossBetween val="between"/>
        <c:majorUnit val="10"/>
      </c:valAx>
      <c:valAx>
        <c:axId val="414193808"/>
        <c:scaling>
          <c:orientation val="minMax"/>
          <c:max val="1.05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% of 2005 Base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193416"/>
        <c:crosses val="max"/>
        <c:crossBetween val="between"/>
        <c:majorUnit val="0.2"/>
      </c:valAx>
      <c:catAx>
        <c:axId val="414193416"/>
        <c:scaling>
          <c:orientation val="minMax"/>
        </c:scaling>
        <c:delete val="1"/>
        <c:axPos val="b"/>
        <c:majorTickMark val="none"/>
        <c:minorTickMark val="none"/>
        <c:tickLblPos val="nextTo"/>
        <c:crossAx val="414193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'Port P45CNW'!$C$40</c:f>
              <c:strCache>
                <c:ptCount val="1"/>
                <c:pt idx="0">
                  <c:v>Gas Peaker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'Port P45CNW'!$D$39:$W$39</c:f>
              <c:numCache>
                <c:formatCode>General</c:formatCode>
                <c:ptCount val="20"/>
                <c:pt idx="0" formatCode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'Port P45CNW'!$D$40:$W$40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184.9</c:v>
                </c:pt>
                <c:pt idx="8">
                  <c:v>184.9</c:v>
                </c:pt>
                <c:pt idx="9">
                  <c:v>184.9</c:v>
                </c:pt>
                <c:pt idx="10">
                  <c:v>184.9</c:v>
                </c:pt>
                <c:pt idx="11">
                  <c:v>554.70000000000005</c:v>
                </c:pt>
                <c:pt idx="12">
                  <c:v>554.70000000000005</c:v>
                </c:pt>
                <c:pt idx="13">
                  <c:v>554.70000000000005</c:v>
                </c:pt>
                <c:pt idx="14">
                  <c:v>554.70000000000005</c:v>
                </c:pt>
                <c:pt idx="15">
                  <c:v>554.70000000000005</c:v>
                </c:pt>
                <c:pt idx="16">
                  <c:v>554.70000000000005</c:v>
                </c:pt>
                <c:pt idx="17">
                  <c:v>554.70000000000005</c:v>
                </c:pt>
                <c:pt idx="18">
                  <c:v>1367.3000000000002</c:v>
                </c:pt>
                <c:pt idx="19">
                  <c:v>1367.3000000000002</c:v>
                </c:pt>
              </c:numCache>
            </c:numRef>
          </c:val>
        </c:ser>
        <c:ser>
          <c:idx val="0"/>
          <c:order val="1"/>
          <c:tx>
            <c:strRef>
              <c:f>'Port P45CNW'!$C$41</c:f>
              <c:strCache>
                <c:ptCount val="1"/>
                <c:pt idx="0">
                  <c:v>Gas CCCT</c:v>
                </c:pt>
              </c:strCache>
            </c:strRef>
          </c:tx>
          <c:spPr>
            <a:solidFill>
              <a:srgbClr val="B482DA"/>
            </a:solidFill>
            <a:ln>
              <a:noFill/>
            </a:ln>
            <a:effectLst/>
          </c:spPr>
          <c:invertIfNegative val="0"/>
          <c:cat>
            <c:numRef>
              <c:f>'Port P45CNW'!$D$39:$W$39</c:f>
              <c:numCache>
                <c:formatCode>General</c:formatCode>
                <c:ptCount val="20"/>
                <c:pt idx="0" formatCode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'Port P45CNW'!$D$41:$W$41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505.2</c:v>
                </c:pt>
                <c:pt idx="19">
                  <c:v>505.2</c:v>
                </c:pt>
              </c:numCache>
            </c:numRef>
          </c:val>
        </c:ser>
        <c:ser>
          <c:idx val="2"/>
          <c:order val="2"/>
          <c:tx>
            <c:strRef>
              <c:f>'Port P45CNW'!$C$43</c:f>
              <c:strCache>
                <c:ptCount val="1"/>
                <c:pt idx="0">
                  <c:v>Gas Removed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'Port P45CNW'!$D$39:$W$39</c:f>
              <c:numCache>
                <c:formatCode>General</c:formatCode>
                <c:ptCount val="20"/>
                <c:pt idx="0" formatCode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'Port P45CNW'!$D$43:$W$43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-356.30000000000007</c:v>
                </c:pt>
                <c:pt idx="15">
                  <c:v>-356.30000000000007</c:v>
                </c:pt>
                <c:pt idx="16">
                  <c:v>-356.30000000000007</c:v>
                </c:pt>
                <c:pt idx="17">
                  <c:v>-356.30000000000007</c:v>
                </c:pt>
                <c:pt idx="18">
                  <c:v>-593.30000000000007</c:v>
                </c:pt>
                <c:pt idx="19">
                  <c:v>-593.30000000000007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349695824"/>
        <c:axId val="349696216"/>
      </c:barChart>
      <c:catAx>
        <c:axId val="3496958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696216"/>
        <c:crosses val="autoZero"/>
        <c:auto val="1"/>
        <c:lblAlgn val="ctr"/>
        <c:lblOffset val="100"/>
        <c:noMultiLvlLbl val="0"/>
      </c:catAx>
      <c:valAx>
        <c:axId val="349696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69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Demand-Side Management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'Port P45CNW'!$C$51</c:f>
              <c:strCache>
                <c:ptCount val="1"/>
                <c:pt idx="0">
                  <c:v>Class 2 DSM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'Port P45CNW'!$D$50:$W$50</c:f>
              <c:numCache>
                <c:formatCode>General</c:formatCode>
                <c:ptCount val="20"/>
                <c:pt idx="0" formatCode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'Port P45CNW'!$D$51:$W$51</c:f>
              <c:numCache>
                <c:formatCode>#,##0_);\(#,##0\)</c:formatCode>
                <c:ptCount val="20"/>
                <c:pt idx="0">
                  <c:v>126</c:v>
                </c:pt>
                <c:pt idx="1">
                  <c:v>258.06</c:v>
                </c:pt>
                <c:pt idx="2">
                  <c:v>390.75</c:v>
                </c:pt>
                <c:pt idx="3">
                  <c:v>533.33000000000004</c:v>
                </c:pt>
                <c:pt idx="4">
                  <c:v>680.07</c:v>
                </c:pt>
                <c:pt idx="5">
                  <c:v>831.13000000000011</c:v>
                </c:pt>
                <c:pt idx="6">
                  <c:v>978.32000000000016</c:v>
                </c:pt>
                <c:pt idx="7">
                  <c:v>1122.3300000000002</c:v>
                </c:pt>
                <c:pt idx="8">
                  <c:v>1265.5900000000001</c:v>
                </c:pt>
                <c:pt idx="9">
                  <c:v>1403.41</c:v>
                </c:pt>
                <c:pt idx="10">
                  <c:v>1529.8100000000002</c:v>
                </c:pt>
                <c:pt idx="11">
                  <c:v>1650.2500000000002</c:v>
                </c:pt>
                <c:pt idx="12">
                  <c:v>1763.7900000000002</c:v>
                </c:pt>
                <c:pt idx="13">
                  <c:v>1873.9300000000003</c:v>
                </c:pt>
                <c:pt idx="14">
                  <c:v>1973.3500000000004</c:v>
                </c:pt>
                <c:pt idx="15">
                  <c:v>2055.1400000000003</c:v>
                </c:pt>
                <c:pt idx="16">
                  <c:v>2132.5100000000002</c:v>
                </c:pt>
                <c:pt idx="17">
                  <c:v>2197.7900000000004</c:v>
                </c:pt>
                <c:pt idx="18">
                  <c:v>2255.8900000000003</c:v>
                </c:pt>
                <c:pt idx="19">
                  <c:v>2315.1200000000003</c:v>
                </c:pt>
              </c:numCache>
            </c:numRef>
          </c:val>
        </c:ser>
        <c:ser>
          <c:idx val="0"/>
          <c:order val="1"/>
          <c:tx>
            <c:strRef>
              <c:f>'Port P45CNW'!$C$52</c:f>
              <c:strCache>
                <c:ptCount val="1"/>
                <c:pt idx="0">
                  <c:v>Class 1 DSM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'Port P45CNW'!$D$50:$W$50</c:f>
              <c:numCache>
                <c:formatCode>General</c:formatCode>
                <c:ptCount val="20"/>
                <c:pt idx="0" formatCode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'Port P45CNW'!$D$52:$W$52</c:f>
              <c:numCache>
                <c:formatCode>#,##0_);\(#,##0\)</c:formatCode>
                <c:ptCount val="20"/>
                <c:pt idx="0">
                  <c:v>4.0599999999999996</c:v>
                </c:pt>
                <c:pt idx="1">
                  <c:v>4.0599999999999996</c:v>
                </c:pt>
                <c:pt idx="2">
                  <c:v>11.064</c:v>
                </c:pt>
                <c:pt idx="3">
                  <c:v>11.064</c:v>
                </c:pt>
                <c:pt idx="4">
                  <c:v>29.173999999999999</c:v>
                </c:pt>
                <c:pt idx="5">
                  <c:v>29.173999999999999</c:v>
                </c:pt>
                <c:pt idx="6">
                  <c:v>37.384999999999998</c:v>
                </c:pt>
                <c:pt idx="7">
                  <c:v>44.551000000000002</c:v>
                </c:pt>
                <c:pt idx="8">
                  <c:v>44.551000000000002</c:v>
                </c:pt>
                <c:pt idx="9">
                  <c:v>44.551000000000002</c:v>
                </c:pt>
                <c:pt idx="10">
                  <c:v>177.262</c:v>
                </c:pt>
                <c:pt idx="11">
                  <c:v>185.476</c:v>
                </c:pt>
                <c:pt idx="12">
                  <c:v>185.476</c:v>
                </c:pt>
                <c:pt idx="13">
                  <c:v>197.471</c:v>
                </c:pt>
                <c:pt idx="14">
                  <c:v>197.471</c:v>
                </c:pt>
                <c:pt idx="15">
                  <c:v>197.471</c:v>
                </c:pt>
                <c:pt idx="16">
                  <c:v>212.81399999999999</c:v>
                </c:pt>
                <c:pt idx="17">
                  <c:v>216.46799999999999</c:v>
                </c:pt>
                <c:pt idx="18">
                  <c:v>275.74</c:v>
                </c:pt>
                <c:pt idx="19">
                  <c:v>444.38900000000001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349689944"/>
        <c:axId val="349690336"/>
      </c:barChart>
      <c:catAx>
        <c:axId val="3496899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690336"/>
        <c:crosses val="autoZero"/>
        <c:auto val="1"/>
        <c:lblAlgn val="ctr"/>
        <c:lblOffset val="100"/>
        <c:noMultiLvlLbl val="0"/>
      </c:catAx>
      <c:valAx>
        <c:axId val="34969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689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Summer FOTs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'Port P45CNW'!$C$56</c:f>
              <c:strCache>
                <c:ptCount val="1"/>
                <c:pt idx="0">
                  <c:v>FOT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'Port P45CNW'!$D$55:$W$55</c:f>
              <c:numCache>
                <c:formatCode>General</c:formatCode>
                <c:ptCount val="20"/>
                <c:pt idx="0" formatCode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'Port P45CNW'!$D$56:$W$56</c:f>
              <c:numCache>
                <c:formatCode>#,##0_);\(#,##0\)</c:formatCode>
                <c:ptCount val="20"/>
                <c:pt idx="0">
                  <c:v>997.76199999999994</c:v>
                </c:pt>
                <c:pt idx="1">
                  <c:v>719.45</c:v>
                </c:pt>
                <c:pt idx="2">
                  <c:v>493</c:v>
                </c:pt>
                <c:pt idx="3">
                  <c:v>502.68</c:v>
                </c:pt>
                <c:pt idx="4">
                  <c:v>497.88</c:v>
                </c:pt>
                <c:pt idx="5">
                  <c:v>130.94999999999999</c:v>
                </c:pt>
                <c:pt idx="6">
                  <c:v>126.44500000000001</c:v>
                </c:pt>
                <c:pt idx="7">
                  <c:v>191.24</c:v>
                </c:pt>
                <c:pt idx="8">
                  <c:v>264</c:v>
                </c:pt>
                <c:pt idx="9">
                  <c:v>1162.54</c:v>
                </c:pt>
                <c:pt idx="10">
                  <c:v>1375</c:v>
                </c:pt>
                <c:pt idx="11">
                  <c:v>1273.6300000000001</c:v>
                </c:pt>
                <c:pt idx="12">
                  <c:v>1248.79</c:v>
                </c:pt>
                <c:pt idx="13">
                  <c:v>1281.31</c:v>
                </c:pt>
                <c:pt idx="14">
                  <c:v>1372.69</c:v>
                </c:pt>
                <c:pt idx="15">
                  <c:v>1375</c:v>
                </c:pt>
                <c:pt idx="16">
                  <c:v>1374.4749999999999</c:v>
                </c:pt>
                <c:pt idx="17">
                  <c:v>1276.5999999999999</c:v>
                </c:pt>
                <c:pt idx="18">
                  <c:v>1374.4749999999999</c:v>
                </c:pt>
                <c:pt idx="19">
                  <c:v>1375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413214408"/>
        <c:axId val="413217152"/>
      </c:barChart>
      <c:catAx>
        <c:axId val="4132144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217152"/>
        <c:crosses val="autoZero"/>
        <c:auto val="1"/>
        <c:lblAlgn val="ctr"/>
        <c:lblOffset val="100"/>
        <c:noMultiLvlLbl val="0"/>
      </c:catAx>
      <c:valAx>
        <c:axId val="413217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214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Case P-45CNW (All Resources)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'Port P45CNW'!$C$24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'Port P45CNW'!$D$23:$W$23</c:f>
              <c:numCache>
                <c:formatCode>General</c:formatCode>
                <c:ptCount val="20"/>
                <c:pt idx="0" formatCode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'Port P45CNW'!$D$24:$W$24</c:f>
              <c:numCache>
                <c:formatCode>#,##0_);\(#,##0\)</c:formatCode>
                <c:ptCount val="20"/>
                <c:pt idx="0">
                  <c:v>23.4</c:v>
                </c:pt>
                <c:pt idx="1">
                  <c:v>23.4</c:v>
                </c:pt>
                <c:pt idx="2">
                  <c:v>1533.4</c:v>
                </c:pt>
                <c:pt idx="3">
                  <c:v>1533.4</c:v>
                </c:pt>
                <c:pt idx="4">
                  <c:v>1602.6000000000001</c:v>
                </c:pt>
                <c:pt idx="5">
                  <c:v>3522.6000000000004</c:v>
                </c:pt>
                <c:pt idx="6">
                  <c:v>3522.6000000000004</c:v>
                </c:pt>
                <c:pt idx="7">
                  <c:v>3522.6000000000004</c:v>
                </c:pt>
                <c:pt idx="8">
                  <c:v>3522.6000000000004</c:v>
                </c:pt>
                <c:pt idx="9">
                  <c:v>3522.6000000000004</c:v>
                </c:pt>
                <c:pt idx="10">
                  <c:v>3522.6000000000004</c:v>
                </c:pt>
                <c:pt idx="11">
                  <c:v>4562.2000000000007</c:v>
                </c:pt>
                <c:pt idx="12">
                  <c:v>4562.2000000000007</c:v>
                </c:pt>
                <c:pt idx="13">
                  <c:v>4562.2000000000007</c:v>
                </c:pt>
                <c:pt idx="14">
                  <c:v>4562.2000000000007</c:v>
                </c:pt>
                <c:pt idx="15">
                  <c:v>4562.2000000000007</c:v>
                </c:pt>
                <c:pt idx="16">
                  <c:v>4562.2000000000007</c:v>
                </c:pt>
                <c:pt idx="17">
                  <c:v>4562.2000000000007</c:v>
                </c:pt>
                <c:pt idx="18">
                  <c:v>4562.2000000000007</c:v>
                </c:pt>
                <c:pt idx="19">
                  <c:v>4562.2000000000007</c:v>
                </c:pt>
              </c:numCache>
            </c:numRef>
          </c:val>
        </c:ser>
        <c:ser>
          <c:idx val="2"/>
          <c:order val="1"/>
          <c:tx>
            <c:strRef>
              <c:f>'Port P45CNW'!$C$26</c:f>
              <c:strCache>
                <c:ptCount val="1"/>
                <c:pt idx="0">
                  <c:v>Wind+Bat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accent6"/>
              </a:bgClr>
            </a:pattFill>
            <a:ln>
              <a:noFill/>
            </a:ln>
            <a:effectLst/>
          </c:spPr>
          <c:invertIfNegative val="0"/>
          <c:cat>
            <c:numRef>
              <c:f>'Port P45CNW'!$D$23:$W$23</c:f>
              <c:numCache>
                <c:formatCode>General</c:formatCode>
                <c:ptCount val="20"/>
                <c:pt idx="0" formatCode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'Port P45CNW'!$D$26:$W$26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9.8000000000000007</c:v>
                </c:pt>
                <c:pt idx="11">
                  <c:v>9.8000000000000007</c:v>
                </c:pt>
                <c:pt idx="12">
                  <c:v>9.8000000000000007</c:v>
                </c:pt>
                <c:pt idx="13">
                  <c:v>70.2</c:v>
                </c:pt>
                <c:pt idx="14">
                  <c:v>70.2</c:v>
                </c:pt>
                <c:pt idx="15">
                  <c:v>70.2</c:v>
                </c:pt>
                <c:pt idx="16">
                  <c:v>70.2</c:v>
                </c:pt>
                <c:pt idx="17">
                  <c:v>70.2</c:v>
                </c:pt>
                <c:pt idx="18">
                  <c:v>80.8</c:v>
                </c:pt>
                <c:pt idx="19">
                  <c:v>80.8</c:v>
                </c:pt>
              </c:numCache>
            </c:numRef>
          </c:val>
        </c:ser>
        <c:ser>
          <c:idx val="3"/>
          <c:order val="2"/>
          <c:tx>
            <c:strRef>
              <c:f>'Port P45CNW'!$C$27</c:f>
              <c:strCache>
                <c:ptCount val="1"/>
                <c:pt idx="0">
                  <c:v>Solar+Bat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accent4"/>
              </a:bgClr>
            </a:pattFill>
            <a:ln>
              <a:noFill/>
            </a:ln>
            <a:effectLst/>
          </c:spPr>
          <c:invertIfNegative val="0"/>
          <c:cat>
            <c:numRef>
              <c:f>'Port P45CNW'!$D$23:$W$23</c:f>
              <c:numCache>
                <c:formatCode>General</c:formatCode>
                <c:ptCount val="20"/>
                <c:pt idx="0" formatCode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'Port P45CNW'!$D$27:$W$27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159.19999999999999</c:v>
                </c:pt>
                <c:pt idx="3">
                  <c:v>223</c:v>
                </c:pt>
                <c:pt idx="4">
                  <c:v>226.4</c:v>
                </c:pt>
                <c:pt idx="5">
                  <c:v>2380</c:v>
                </c:pt>
                <c:pt idx="6">
                  <c:v>2380</c:v>
                </c:pt>
                <c:pt idx="7">
                  <c:v>2380</c:v>
                </c:pt>
                <c:pt idx="8">
                  <c:v>2380</c:v>
                </c:pt>
                <c:pt idx="9">
                  <c:v>2380</c:v>
                </c:pt>
                <c:pt idx="10">
                  <c:v>2739.4</c:v>
                </c:pt>
                <c:pt idx="11">
                  <c:v>3239.4</c:v>
                </c:pt>
                <c:pt idx="12">
                  <c:v>3239.4</c:v>
                </c:pt>
                <c:pt idx="13">
                  <c:v>3239.4</c:v>
                </c:pt>
                <c:pt idx="14">
                  <c:v>3714.4</c:v>
                </c:pt>
                <c:pt idx="15">
                  <c:v>3714.4</c:v>
                </c:pt>
                <c:pt idx="16">
                  <c:v>3714.4</c:v>
                </c:pt>
                <c:pt idx="17">
                  <c:v>4133.8</c:v>
                </c:pt>
                <c:pt idx="18">
                  <c:v>5042.8</c:v>
                </c:pt>
                <c:pt idx="19">
                  <c:v>5744.6</c:v>
                </c:pt>
              </c:numCache>
            </c:numRef>
          </c:val>
        </c:ser>
        <c:ser>
          <c:idx val="6"/>
          <c:order val="3"/>
          <c:tx>
            <c:strRef>
              <c:f>'Port P45CNW'!$C$28</c:f>
              <c:strCache>
                <c:ptCount val="1"/>
                <c:pt idx="0">
                  <c:v>Battery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accent5"/>
              </a:bgClr>
            </a:pattFill>
            <a:ln>
              <a:noFill/>
            </a:ln>
            <a:effectLst/>
          </c:spPr>
          <c:invertIfNegative val="0"/>
          <c:cat>
            <c:numRef>
              <c:f>'Port P45CNW'!$D$23:$W$23</c:f>
              <c:numCache>
                <c:formatCode>General</c:formatCode>
                <c:ptCount val="20"/>
                <c:pt idx="0" formatCode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'Port P45CNW'!$D$28:$W$28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180</c:v>
                </c:pt>
                <c:pt idx="10">
                  <c:v>615</c:v>
                </c:pt>
                <c:pt idx="11">
                  <c:v>615</c:v>
                </c:pt>
                <c:pt idx="12">
                  <c:v>645</c:v>
                </c:pt>
                <c:pt idx="13">
                  <c:v>765</c:v>
                </c:pt>
                <c:pt idx="14">
                  <c:v>765</c:v>
                </c:pt>
                <c:pt idx="15">
                  <c:v>765</c:v>
                </c:pt>
                <c:pt idx="16">
                  <c:v>765</c:v>
                </c:pt>
                <c:pt idx="17">
                  <c:v>765</c:v>
                </c:pt>
                <c:pt idx="18">
                  <c:v>765</c:v>
                </c:pt>
                <c:pt idx="19">
                  <c:v>1365</c:v>
                </c:pt>
              </c:numCache>
            </c:numRef>
          </c:val>
        </c:ser>
        <c:ser>
          <c:idx val="7"/>
          <c:order val="4"/>
          <c:tx>
            <c:strRef>
              <c:f>'Port P45CNW'!$C$51</c:f>
              <c:strCache>
                <c:ptCount val="1"/>
                <c:pt idx="0">
                  <c:v>Class 2 DSM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'Port P45CNW'!$D$51:$W$51</c:f>
              <c:numCache>
                <c:formatCode>#,##0_);\(#,##0\)</c:formatCode>
                <c:ptCount val="20"/>
                <c:pt idx="0">
                  <c:v>126</c:v>
                </c:pt>
                <c:pt idx="1">
                  <c:v>258.06</c:v>
                </c:pt>
                <c:pt idx="2">
                  <c:v>390.75</c:v>
                </c:pt>
                <c:pt idx="3">
                  <c:v>533.33000000000004</c:v>
                </c:pt>
                <c:pt idx="4">
                  <c:v>680.07</c:v>
                </c:pt>
                <c:pt idx="5">
                  <c:v>831.13000000000011</c:v>
                </c:pt>
                <c:pt idx="6">
                  <c:v>978.32000000000016</c:v>
                </c:pt>
                <c:pt idx="7">
                  <c:v>1122.3300000000002</c:v>
                </c:pt>
                <c:pt idx="8">
                  <c:v>1265.5900000000001</c:v>
                </c:pt>
                <c:pt idx="9">
                  <c:v>1403.41</c:v>
                </c:pt>
                <c:pt idx="10">
                  <c:v>1529.8100000000002</c:v>
                </c:pt>
                <c:pt idx="11">
                  <c:v>1650.2500000000002</c:v>
                </c:pt>
                <c:pt idx="12">
                  <c:v>1763.7900000000002</c:v>
                </c:pt>
                <c:pt idx="13">
                  <c:v>1873.9300000000003</c:v>
                </c:pt>
                <c:pt idx="14">
                  <c:v>1973.3500000000004</c:v>
                </c:pt>
                <c:pt idx="15">
                  <c:v>2055.1400000000003</c:v>
                </c:pt>
                <c:pt idx="16">
                  <c:v>2132.5100000000002</c:v>
                </c:pt>
                <c:pt idx="17">
                  <c:v>2197.7900000000004</c:v>
                </c:pt>
                <c:pt idx="18">
                  <c:v>2255.8900000000003</c:v>
                </c:pt>
                <c:pt idx="19">
                  <c:v>2315.1200000000003</c:v>
                </c:pt>
              </c:numCache>
            </c:numRef>
          </c:val>
        </c:ser>
        <c:ser>
          <c:idx val="8"/>
          <c:order val="5"/>
          <c:tx>
            <c:strRef>
              <c:f>'Port P45CNW'!$C$52</c:f>
              <c:strCache>
                <c:ptCount val="1"/>
                <c:pt idx="0">
                  <c:v>Class 1 DSM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'Port P45CNW'!$D$52:$W$52</c:f>
              <c:numCache>
                <c:formatCode>#,##0_);\(#,##0\)</c:formatCode>
                <c:ptCount val="20"/>
                <c:pt idx="0">
                  <c:v>4.0599999999999996</c:v>
                </c:pt>
                <c:pt idx="1">
                  <c:v>4.0599999999999996</c:v>
                </c:pt>
                <c:pt idx="2">
                  <c:v>11.064</c:v>
                </c:pt>
                <c:pt idx="3">
                  <c:v>11.064</c:v>
                </c:pt>
                <c:pt idx="4">
                  <c:v>29.173999999999999</c:v>
                </c:pt>
                <c:pt idx="5">
                  <c:v>29.173999999999999</c:v>
                </c:pt>
                <c:pt idx="6">
                  <c:v>37.384999999999998</c:v>
                </c:pt>
                <c:pt idx="7">
                  <c:v>44.551000000000002</c:v>
                </c:pt>
                <c:pt idx="8">
                  <c:v>44.551000000000002</c:v>
                </c:pt>
                <c:pt idx="9">
                  <c:v>44.551000000000002</c:v>
                </c:pt>
                <c:pt idx="10">
                  <c:v>177.262</c:v>
                </c:pt>
                <c:pt idx="11">
                  <c:v>185.476</c:v>
                </c:pt>
                <c:pt idx="12">
                  <c:v>185.476</c:v>
                </c:pt>
                <c:pt idx="13">
                  <c:v>197.471</c:v>
                </c:pt>
                <c:pt idx="14">
                  <c:v>197.471</c:v>
                </c:pt>
                <c:pt idx="15">
                  <c:v>197.471</c:v>
                </c:pt>
                <c:pt idx="16">
                  <c:v>212.81399999999999</c:v>
                </c:pt>
                <c:pt idx="17">
                  <c:v>216.46799999999999</c:v>
                </c:pt>
                <c:pt idx="18">
                  <c:v>275.74</c:v>
                </c:pt>
                <c:pt idx="19">
                  <c:v>444.38900000000001</c:v>
                </c:pt>
              </c:numCache>
            </c:numRef>
          </c:val>
        </c:ser>
        <c:ser>
          <c:idx val="12"/>
          <c:order val="6"/>
          <c:tx>
            <c:strRef>
              <c:f>'Port P45CNW'!$C$42</c:f>
              <c:strCache>
                <c:ptCount val="1"/>
                <c:pt idx="0">
                  <c:v>Gas Conv.</c:v>
                </c:pt>
              </c:strCache>
            </c:strRef>
          </c:tx>
          <c:spPr>
            <a:solidFill>
              <a:srgbClr val="C525A3"/>
            </a:solidFill>
            <a:ln>
              <a:noFill/>
            </a:ln>
            <a:effectLst/>
          </c:spPr>
          <c:invertIfNegative val="0"/>
          <c:val>
            <c:numRef>
              <c:f>'Port P45CNW'!$D$42:$W$42</c:f>
              <c:numCache>
                <c:formatCode>#,##0_);\(#,##0\)</c:formatCode>
                <c:ptCount val="20"/>
                <c:pt idx="0">
                  <c:v>0</c:v>
                </c:pt>
                <c:pt idx="1">
                  <c:v>247</c:v>
                </c:pt>
                <c:pt idx="2">
                  <c:v>247</c:v>
                </c:pt>
                <c:pt idx="3">
                  <c:v>247</c:v>
                </c:pt>
                <c:pt idx="4">
                  <c:v>247</c:v>
                </c:pt>
                <c:pt idx="5">
                  <c:v>247</c:v>
                </c:pt>
                <c:pt idx="6">
                  <c:v>247</c:v>
                </c:pt>
                <c:pt idx="7">
                  <c:v>247</c:v>
                </c:pt>
                <c:pt idx="8">
                  <c:v>247</c:v>
                </c:pt>
                <c:pt idx="9">
                  <c:v>247</c:v>
                </c:pt>
                <c:pt idx="10">
                  <c:v>247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9"/>
          <c:order val="7"/>
          <c:tx>
            <c:strRef>
              <c:f>'Port P45CNW'!$C$40</c:f>
              <c:strCache>
                <c:ptCount val="1"/>
                <c:pt idx="0">
                  <c:v>Gas Peaker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val>
            <c:numRef>
              <c:f>'Port P45CNW'!$D$40:$W$40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184.9</c:v>
                </c:pt>
                <c:pt idx="8">
                  <c:v>184.9</c:v>
                </c:pt>
                <c:pt idx="9">
                  <c:v>184.9</c:v>
                </c:pt>
                <c:pt idx="10">
                  <c:v>184.9</c:v>
                </c:pt>
                <c:pt idx="11">
                  <c:v>554.70000000000005</c:v>
                </c:pt>
                <c:pt idx="12">
                  <c:v>554.70000000000005</c:v>
                </c:pt>
                <c:pt idx="13">
                  <c:v>554.70000000000005</c:v>
                </c:pt>
                <c:pt idx="14">
                  <c:v>554.70000000000005</c:v>
                </c:pt>
                <c:pt idx="15">
                  <c:v>554.70000000000005</c:v>
                </c:pt>
                <c:pt idx="16">
                  <c:v>554.70000000000005</c:v>
                </c:pt>
                <c:pt idx="17">
                  <c:v>554.70000000000005</c:v>
                </c:pt>
                <c:pt idx="18">
                  <c:v>1367.3000000000002</c:v>
                </c:pt>
                <c:pt idx="19">
                  <c:v>1367.3000000000002</c:v>
                </c:pt>
              </c:numCache>
            </c:numRef>
          </c:val>
        </c:ser>
        <c:ser>
          <c:idx val="10"/>
          <c:order val="8"/>
          <c:tx>
            <c:strRef>
              <c:f>'Port P45CNW'!$C$41</c:f>
              <c:strCache>
                <c:ptCount val="1"/>
                <c:pt idx="0">
                  <c:v>Gas CCCT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'Port P45CNW'!$D$41:$W$41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505.2</c:v>
                </c:pt>
                <c:pt idx="19">
                  <c:v>505.2</c:v>
                </c:pt>
              </c:numCache>
            </c:numRef>
          </c:val>
        </c:ser>
        <c:ser>
          <c:idx val="11"/>
          <c:order val="9"/>
          <c:tx>
            <c:strRef>
              <c:f>'Port P45CNW'!$C$56</c:f>
              <c:strCache>
                <c:ptCount val="1"/>
                <c:pt idx="0">
                  <c:v>FOT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val>
            <c:numRef>
              <c:f>'Port P45CNW'!$D$56:$W$56</c:f>
              <c:numCache>
                <c:formatCode>#,##0_);\(#,##0\)</c:formatCode>
                <c:ptCount val="20"/>
                <c:pt idx="0">
                  <c:v>997.76199999999994</c:v>
                </c:pt>
                <c:pt idx="1">
                  <c:v>719.45</c:v>
                </c:pt>
                <c:pt idx="2">
                  <c:v>493</c:v>
                </c:pt>
                <c:pt idx="3">
                  <c:v>502.68</c:v>
                </c:pt>
                <c:pt idx="4">
                  <c:v>497.88</c:v>
                </c:pt>
                <c:pt idx="5">
                  <c:v>130.94999999999999</c:v>
                </c:pt>
                <c:pt idx="6">
                  <c:v>126.44500000000001</c:v>
                </c:pt>
                <c:pt idx="7">
                  <c:v>191.24</c:v>
                </c:pt>
                <c:pt idx="8">
                  <c:v>264</c:v>
                </c:pt>
                <c:pt idx="9">
                  <c:v>1162.54</c:v>
                </c:pt>
                <c:pt idx="10">
                  <c:v>1375</c:v>
                </c:pt>
                <c:pt idx="11">
                  <c:v>1273.6300000000001</c:v>
                </c:pt>
                <c:pt idx="12">
                  <c:v>1248.79</c:v>
                </c:pt>
                <c:pt idx="13">
                  <c:v>1281.31</c:v>
                </c:pt>
                <c:pt idx="14">
                  <c:v>1372.69</c:v>
                </c:pt>
                <c:pt idx="15">
                  <c:v>1375</c:v>
                </c:pt>
                <c:pt idx="16">
                  <c:v>1374.4749999999999</c:v>
                </c:pt>
                <c:pt idx="17">
                  <c:v>1276.5999999999999</c:v>
                </c:pt>
                <c:pt idx="18">
                  <c:v>1374.4749999999999</c:v>
                </c:pt>
                <c:pt idx="19">
                  <c:v>1375</c:v>
                </c:pt>
              </c:numCache>
            </c:numRef>
          </c:val>
        </c:ser>
        <c:ser>
          <c:idx val="4"/>
          <c:order val="10"/>
          <c:tx>
            <c:strRef>
              <c:f>'Port P45CNW'!$C$59</c:f>
              <c:strCache>
                <c:ptCount val="1"/>
                <c:pt idx="0">
                  <c:v>Removed Capacity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'Port P45CNW'!$D$23:$W$23</c:f>
              <c:numCache>
                <c:formatCode>General</c:formatCode>
                <c:ptCount val="20"/>
                <c:pt idx="0" formatCode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'Port P45CNW'!$D$59:$W$59</c:f>
              <c:numCache>
                <c:formatCode>#,##0_);\(#,##0\)</c:formatCode>
                <c:ptCount val="20"/>
                <c:pt idx="0">
                  <c:v>0</c:v>
                </c:pt>
                <c:pt idx="1">
                  <c:v>-307.64999999999998</c:v>
                </c:pt>
                <c:pt idx="2">
                  <c:v>-880.35</c:v>
                </c:pt>
                <c:pt idx="3">
                  <c:v>-1104.3499999999999</c:v>
                </c:pt>
                <c:pt idx="4">
                  <c:v>-1105.75</c:v>
                </c:pt>
                <c:pt idx="5">
                  <c:v>-1518.05</c:v>
                </c:pt>
                <c:pt idx="6">
                  <c:v>-1518.05</c:v>
                </c:pt>
                <c:pt idx="7">
                  <c:v>-2023.25</c:v>
                </c:pt>
                <c:pt idx="8">
                  <c:v>-2107.75</c:v>
                </c:pt>
                <c:pt idx="9">
                  <c:v>-3019.9500000000003</c:v>
                </c:pt>
                <c:pt idx="10">
                  <c:v>-3469.1500000000005</c:v>
                </c:pt>
                <c:pt idx="11">
                  <c:v>-3618.2500000000005</c:v>
                </c:pt>
                <c:pt idx="12">
                  <c:v>-3968.4500000000003</c:v>
                </c:pt>
                <c:pt idx="13">
                  <c:v>-4082.3500000000004</c:v>
                </c:pt>
                <c:pt idx="14">
                  <c:v>-4639.55</c:v>
                </c:pt>
                <c:pt idx="15">
                  <c:v>-4795.3570000000009</c:v>
                </c:pt>
                <c:pt idx="16">
                  <c:v>-4831.2570000000005</c:v>
                </c:pt>
                <c:pt idx="17">
                  <c:v>-5111.5570000000007</c:v>
                </c:pt>
                <c:pt idx="18">
                  <c:v>-7371.7570000000005</c:v>
                </c:pt>
                <c:pt idx="19">
                  <c:v>-8116.7570000000014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413216760"/>
        <c:axId val="413219896"/>
        <c:extLst/>
      </c:barChart>
      <c:catAx>
        <c:axId val="4132167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219896"/>
        <c:crosses val="autoZero"/>
        <c:auto val="1"/>
        <c:lblAlgn val="ctr"/>
        <c:lblOffset val="100"/>
        <c:noMultiLvlLbl val="0"/>
      </c:catAx>
      <c:valAx>
        <c:axId val="413219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Cumulative 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216760"/>
        <c:crosses val="autoZero"/>
        <c:crossBetween val="between"/>
        <c:majorUnit val="25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Renewable and Storage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'Port P45CNW'!$C$24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'Port P45CNW'!$D$50:$W$50</c:f>
              <c:numCache>
                <c:formatCode>General</c:formatCode>
                <c:ptCount val="20"/>
                <c:pt idx="0" formatCode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'Port P45CNW'!$D$24:$W$24</c:f>
              <c:numCache>
                <c:formatCode>#,##0_);\(#,##0\)</c:formatCode>
                <c:ptCount val="20"/>
                <c:pt idx="0">
                  <c:v>23.4</c:v>
                </c:pt>
                <c:pt idx="1">
                  <c:v>23.4</c:v>
                </c:pt>
                <c:pt idx="2">
                  <c:v>1533.4</c:v>
                </c:pt>
                <c:pt idx="3">
                  <c:v>1533.4</c:v>
                </c:pt>
                <c:pt idx="4">
                  <c:v>1602.6000000000001</c:v>
                </c:pt>
                <c:pt idx="5">
                  <c:v>3522.6000000000004</c:v>
                </c:pt>
                <c:pt idx="6">
                  <c:v>3522.6000000000004</c:v>
                </c:pt>
                <c:pt idx="7">
                  <c:v>3522.6000000000004</c:v>
                </c:pt>
                <c:pt idx="8">
                  <c:v>3522.6000000000004</c:v>
                </c:pt>
                <c:pt idx="9">
                  <c:v>3522.6000000000004</c:v>
                </c:pt>
                <c:pt idx="10">
                  <c:v>3522.6000000000004</c:v>
                </c:pt>
                <c:pt idx="11">
                  <c:v>4562.2000000000007</c:v>
                </c:pt>
                <c:pt idx="12">
                  <c:v>4562.2000000000007</c:v>
                </c:pt>
                <c:pt idx="13">
                  <c:v>4562.2000000000007</c:v>
                </c:pt>
                <c:pt idx="14">
                  <c:v>4562.2000000000007</c:v>
                </c:pt>
                <c:pt idx="15">
                  <c:v>4562.2000000000007</c:v>
                </c:pt>
                <c:pt idx="16">
                  <c:v>4562.2000000000007</c:v>
                </c:pt>
                <c:pt idx="17">
                  <c:v>4562.2000000000007</c:v>
                </c:pt>
                <c:pt idx="18">
                  <c:v>4562.2000000000007</c:v>
                </c:pt>
                <c:pt idx="19">
                  <c:v>4562.2000000000007</c:v>
                </c:pt>
              </c:numCache>
            </c:numRef>
          </c:val>
        </c:ser>
        <c:ser>
          <c:idx val="0"/>
          <c:order val="1"/>
          <c:tx>
            <c:strRef>
              <c:f>'Port P45CNW'!$C$25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'Port P45CNW'!$D$50:$W$50</c:f>
              <c:numCache>
                <c:formatCode>General</c:formatCode>
                <c:ptCount val="20"/>
                <c:pt idx="0" formatCode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'Port P45CNW'!$D$25:$W$25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559</c:v>
                </c:pt>
                <c:pt idx="3">
                  <c:v>559</c:v>
                </c:pt>
                <c:pt idx="4">
                  <c:v>559</c:v>
                </c:pt>
                <c:pt idx="5">
                  <c:v>559</c:v>
                </c:pt>
                <c:pt idx="6">
                  <c:v>559</c:v>
                </c:pt>
                <c:pt idx="7">
                  <c:v>559</c:v>
                </c:pt>
                <c:pt idx="8">
                  <c:v>559</c:v>
                </c:pt>
                <c:pt idx="9">
                  <c:v>559</c:v>
                </c:pt>
                <c:pt idx="10">
                  <c:v>559</c:v>
                </c:pt>
                <c:pt idx="11">
                  <c:v>559</c:v>
                </c:pt>
                <c:pt idx="12">
                  <c:v>559</c:v>
                </c:pt>
                <c:pt idx="13">
                  <c:v>559</c:v>
                </c:pt>
                <c:pt idx="14">
                  <c:v>559</c:v>
                </c:pt>
                <c:pt idx="15">
                  <c:v>559</c:v>
                </c:pt>
                <c:pt idx="16">
                  <c:v>559</c:v>
                </c:pt>
                <c:pt idx="17">
                  <c:v>559</c:v>
                </c:pt>
                <c:pt idx="18">
                  <c:v>559</c:v>
                </c:pt>
                <c:pt idx="19">
                  <c:v>559</c:v>
                </c:pt>
              </c:numCache>
            </c:numRef>
          </c:val>
        </c:ser>
        <c:ser>
          <c:idx val="2"/>
          <c:order val="2"/>
          <c:tx>
            <c:strRef>
              <c:f>'Port P45CNW'!$C$26</c:f>
              <c:strCache>
                <c:ptCount val="1"/>
                <c:pt idx="0">
                  <c:v>Wind+Bat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accent6"/>
              </a:bgClr>
            </a:pattFill>
            <a:ln>
              <a:noFill/>
            </a:ln>
            <a:effectLst/>
          </c:spPr>
          <c:invertIfNegative val="0"/>
          <c:val>
            <c:numRef>
              <c:f>'Port P45CNW'!$D$26:$W$26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9.8000000000000007</c:v>
                </c:pt>
                <c:pt idx="11">
                  <c:v>9.8000000000000007</c:v>
                </c:pt>
                <c:pt idx="12">
                  <c:v>9.8000000000000007</c:v>
                </c:pt>
                <c:pt idx="13">
                  <c:v>70.2</c:v>
                </c:pt>
                <c:pt idx="14">
                  <c:v>70.2</c:v>
                </c:pt>
                <c:pt idx="15">
                  <c:v>70.2</c:v>
                </c:pt>
                <c:pt idx="16">
                  <c:v>70.2</c:v>
                </c:pt>
                <c:pt idx="17">
                  <c:v>70.2</c:v>
                </c:pt>
                <c:pt idx="18">
                  <c:v>80.8</c:v>
                </c:pt>
                <c:pt idx="19">
                  <c:v>80.8</c:v>
                </c:pt>
              </c:numCache>
            </c:numRef>
          </c:val>
        </c:ser>
        <c:ser>
          <c:idx val="3"/>
          <c:order val="3"/>
          <c:tx>
            <c:strRef>
              <c:f>'Port P45CNW'!$C$27</c:f>
              <c:strCache>
                <c:ptCount val="1"/>
                <c:pt idx="0">
                  <c:v>Solar+Bat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accent4"/>
              </a:bgClr>
            </a:pattFill>
            <a:ln>
              <a:noFill/>
            </a:ln>
            <a:effectLst/>
          </c:spPr>
          <c:invertIfNegative val="0"/>
          <c:val>
            <c:numRef>
              <c:f>'Port P45CNW'!$D$27:$W$27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159.19999999999999</c:v>
                </c:pt>
                <c:pt idx="3">
                  <c:v>223</c:v>
                </c:pt>
                <c:pt idx="4">
                  <c:v>226.4</c:v>
                </c:pt>
                <c:pt idx="5">
                  <c:v>2380</c:v>
                </c:pt>
                <c:pt idx="6">
                  <c:v>2380</c:v>
                </c:pt>
                <c:pt idx="7">
                  <c:v>2380</c:v>
                </c:pt>
                <c:pt idx="8">
                  <c:v>2380</c:v>
                </c:pt>
                <c:pt idx="9">
                  <c:v>2380</c:v>
                </c:pt>
                <c:pt idx="10">
                  <c:v>2739.4</c:v>
                </c:pt>
                <c:pt idx="11">
                  <c:v>3239.4</c:v>
                </c:pt>
                <c:pt idx="12">
                  <c:v>3239.4</c:v>
                </c:pt>
                <c:pt idx="13">
                  <c:v>3239.4</c:v>
                </c:pt>
                <c:pt idx="14">
                  <c:v>3714.4</c:v>
                </c:pt>
                <c:pt idx="15">
                  <c:v>3714.4</c:v>
                </c:pt>
                <c:pt idx="16">
                  <c:v>3714.4</c:v>
                </c:pt>
                <c:pt idx="17">
                  <c:v>4133.8</c:v>
                </c:pt>
                <c:pt idx="18">
                  <c:v>5042.8</c:v>
                </c:pt>
                <c:pt idx="19">
                  <c:v>5744.6</c:v>
                </c:pt>
              </c:numCache>
            </c:numRef>
          </c:val>
        </c:ser>
        <c:ser>
          <c:idx val="4"/>
          <c:order val="4"/>
          <c:tx>
            <c:strRef>
              <c:f>'Port P45CNW'!$C$28</c:f>
              <c:strCache>
                <c:ptCount val="1"/>
                <c:pt idx="0">
                  <c:v>Battery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accent5"/>
              </a:bgClr>
            </a:pattFill>
            <a:ln>
              <a:noFill/>
            </a:ln>
            <a:effectLst/>
          </c:spPr>
          <c:invertIfNegative val="0"/>
          <c:val>
            <c:numRef>
              <c:f>'Port P45CNW'!$D$28:$W$28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180</c:v>
                </c:pt>
                <c:pt idx="10">
                  <c:v>615</c:v>
                </c:pt>
                <c:pt idx="11">
                  <c:v>615</c:v>
                </c:pt>
                <c:pt idx="12">
                  <c:v>645</c:v>
                </c:pt>
                <c:pt idx="13">
                  <c:v>765</c:v>
                </c:pt>
                <c:pt idx="14">
                  <c:v>765</c:v>
                </c:pt>
                <c:pt idx="15">
                  <c:v>765</c:v>
                </c:pt>
                <c:pt idx="16">
                  <c:v>765</c:v>
                </c:pt>
                <c:pt idx="17">
                  <c:v>765</c:v>
                </c:pt>
                <c:pt idx="18">
                  <c:v>765</c:v>
                </c:pt>
                <c:pt idx="19">
                  <c:v>1365</c:v>
                </c:pt>
              </c:numCache>
            </c:numRef>
          </c:val>
        </c:ser>
        <c:ser>
          <c:idx val="5"/>
          <c:order val="5"/>
          <c:tx>
            <c:strRef>
              <c:f>'Port P45CNW'!$C$29</c:f>
              <c:strCache>
                <c:ptCount val="1"/>
                <c:pt idx="0">
                  <c:v>CAES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rgbClr val="00B0F0"/>
              </a:bgClr>
            </a:pattFill>
            <a:ln>
              <a:noFill/>
            </a:ln>
            <a:effectLst/>
          </c:spPr>
          <c:invertIfNegative val="0"/>
          <c:val>
            <c:numRef>
              <c:f>'Port P45CNW'!$D$29:$W$29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6"/>
          <c:order val="6"/>
          <c:tx>
            <c:strRef>
              <c:f>'Port P45CNW'!$C$30</c:f>
              <c:strCache>
                <c:ptCount val="1"/>
                <c:pt idx="0">
                  <c:v>Renewable Removed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'Port P45CNW'!$D$30:$W$30</c:f>
              <c:numCache>
                <c:formatCode>#,##0_);\(#,##0\)</c:formatCode>
                <c:ptCount val="20"/>
                <c:pt idx="0">
                  <c:v>0</c:v>
                </c:pt>
                <c:pt idx="1">
                  <c:v>-27.650000000000002</c:v>
                </c:pt>
                <c:pt idx="2">
                  <c:v>-213.35000000000005</c:v>
                </c:pt>
                <c:pt idx="3">
                  <c:v>-437.35</c:v>
                </c:pt>
                <c:pt idx="4">
                  <c:v>-438.75</c:v>
                </c:pt>
                <c:pt idx="5">
                  <c:v>-500.55</c:v>
                </c:pt>
                <c:pt idx="6">
                  <c:v>-500.55</c:v>
                </c:pt>
                <c:pt idx="7">
                  <c:v>-566.45000000000005</c:v>
                </c:pt>
                <c:pt idx="8">
                  <c:v>-569.45000000000005</c:v>
                </c:pt>
                <c:pt idx="9">
                  <c:v>-578.65000000000009</c:v>
                </c:pt>
                <c:pt idx="10">
                  <c:v>-672.05000000000007</c:v>
                </c:pt>
                <c:pt idx="11">
                  <c:v>-821.15000000000009</c:v>
                </c:pt>
                <c:pt idx="12">
                  <c:v>-1094.75</c:v>
                </c:pt>
                <c:pt idx="13">
                  <c:v>-1208.6500000000001</c:v>
                </c:pt>
                <c:pt idx="14">
                  <c:v>-1409.5500000000002</c:v>
                </c:pt>
                <c:pt idx="15">
                  <c:v>-1565.3570000000002</c:v>
                </c:pt>
                <c:pt idx="16">
                  <c:v>-1601.2570000000003</c:v>
                </c:pt>
                <c:pt idx="17">
                  <c:v>-1881.5570000000002</c:v>
                </c:pt>
                <c:pt idx="18">
                  <c:v>-2995.7570000000005</c:v>
                </c:pt>
                <c:pt idx="19">
                  <c:v>-3038.7570000000005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413217544"/>
        <c:axId val="413215192"/>
      </c:barChart>
      <c:catAx>
        <c:axId val="4132175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215192"/>
        <c:crosses val="autoZero"/>
        <c:auto val="1"/>
        <c:lblAlgn val="ctr"/>
        <c:lblOffset val="100"/>
        <c:noMultiLvlLbl val="0"/>
      </c:catAx>
      <c:valAx>
        <c:axId val="413215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217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2019 IRP*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'Port P45CNW'!$D$55:$W$55</c:f>
              <c:numCache>
                <c:formatCode>General</c:formatCode>
                <c:ptCount val="20"/>
                <c:pt idx="0" formatCode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'Port P45CNW'!$D$22:$W$22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718.2</c:v>
                </c:pt>
                <c:pt idx="3">
                  <c:v>782</c:v>
                </c:pt>
                <c:pt idx="4">
                  <c:v>785.4</c:v>
                </c:pt>
                <c:pt idx="5">
                  <c:v>2939</c:v>
                </c:pt>
                <c:pt idx="6">
                  <c:v>2939</c:v>
                </c:pt>
                <c:pt idx="7">
                  <c:v>2939</c:v>
                </c:pt>
                <c:pt idx="8">
                  <c:v>2939</c:v>
                </c:pt>
                <c:pt idx="9">
                  <c:v>2939</c:v>
                </c:pt>
                <c:pt idx="10">
                  <c:v>3298.4</c:v>
                </c:pt>
                <c:pt idx="11">
                  <c:v>3798.4</c:v>
                </c:pt>
                <c:pt idx="12">
                  <c:v>3798.4</c:v>
                </c:pt>
                <c:pt idx="13">
                  <c:v>3798.4</c:v>
                </c:pt>
                <c:pt idx="14">
                  <c:v>4273.3999999999996</c:v>
                </c:pt>
                <c:pt idx="15">
                  <c:v>4273.3999999999996</c:v>
                </c:pt>
                <c:pt idx="16">
                  <c:v>4273.3999999999996</c:v>
                </c:pt>
                <c:pt idx="17">
                  <c:v>4692.8</c:v>
                </c:pt>
                <c:pt idx="18">
                  <c:v>5601.8</c:v>
                </c:pt>
                <c:pt idx="19">
                  <c:v>6303.6</c:v>
                </c:pt>
              </c:numCache>
            </c:numRef>
          </c:val>
        </c:ser>
        <c:ser>
          <c:idx val="0"/>
          <c:order val="1"/>
          <c:tx>
            <c:v>2017 IRP</c:v>
          </c:tx>
          <c:spPr>
            <a:solidFill>
              <a:schemeClr val="accent4">
                <a:alpha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'Port 2017 IRP'!$F$25:$Y$25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11.44</c:v>
                </c:pt>
                <c:pt idx="10">
                  <c:v>108.315</c:v>
                </c:pt>
                <c:pt idx="11">
                  <c:v>108.315</c:v>
                </c:pt>
                <c:pt idx="12">
                  <c:v>226.24099999999999</c:v>
                </c:pt>
                <c:pt idx="13">
                  <c:v>462.87099999999998</c:v>
                </c:pt>
                <c:pt idx="14">
                  <c:v>688.71600000000001</c:v>
                </c:pt>
                <c:pt idx="15">
                  <c:v>737.00700000000006</c:v>
                </c:pt>
                <c:pt idx="16">
                  <c:v>1027.5830000000001</c:v>
                </c:pt>
                <c:pt idx="17">
                  <c:v>1040.172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413217936"/>
        <c:axId val="413219112"/>
      </c:barChart>
      <c:catAx>
        <c:axId val="4132179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219112"/>
        <c:crosses val="autoZero"/>
        <c:auto val="1"/>
        <c:lblAlgn val="ctr"/>
        <c:lblOffset val="100"/>
        <c:noMultiLvlLbl val="0"/>
      </c:catAx>
      <c:valAx>
        <c:axId val="413219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Cumulative 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21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2019 IRP*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'Port P45CNW'!$D$55:$W$55</c:f>
              <c:numCache>
                <c:formatCode>General</c:formatCode>
                <c:ptCount val="20"/>
                <c:pt idx="0" formatCode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'Port P45CNW'!$D$9:$W$9</c:f>
              <c:numCache>
                <c:formatCode>#,##0_);\(#,##0\)</c:formatCode>
                <c:ptCount val="20"/>
                <c:pt idx="0">
                  <c:v>23.4</c:v>
                </c:pt>
                <c:pt idx="1">
                  <c:v>23.4</c:v>
                </c:pt>
                <c:pt idx="2">
                  <c:v>1533.4</c:v>
                </c:pt>
                <c:pt idx="3">
                  <c:v>1533.4</c:v>
                </c:pt>
                <c:pt idx="4">
                  <c:v>1602.6000000000001</c:v>
                </c:pt>
                <c:pt idx="5">
                  <c:v>3522.6000000000004</c:v>
                </c:pt>
                <c:pt idx="6">
                  <c:v>3522.6000000000004</c:v>
                </c:pt>
                <c:pt idx="7">
                  <c:v>3522.6000000000004</c:v>
                </c:pt>
                <c:pt idx="8">
                  <c:v>3522.6000000000004</c:v>
                </c:pt>
                <c:pt idx="9">
                  <c:v>3522.6000000000004</c:v>
                </c:pt>
                <c:pt idx="10">
                  <c:v>3532.4000000000005</c:v>
                </c:pt>
                <c:pt idx="11">
                  <c:v>4572.0000000000009</c:v>
                </c:pt>
                <c:pt idx="12">
                  <c:v>4572.0000000000009</c:v>
                </c:pt>
                <c:pt idx="13">
                  <c:v>4632.4000000000005</c:v>
                </c:pt>
                <c:pt idx="14">
                  <c:v>4632.4000000000005</c:v>
                </c:pt>
                <c:pt idx="15">
                  <c:v>4632.4000000000005</c:v>
                </c:pt>
                <c:pt idx="16">
                  <c:v>4632.4000000000005</c:v>
                </c:pt>
                <c:pt idx="17">
                  <c:v>4632.4000000000005</c:v>
                </c:pt>
                <c:pt idx="18">
                  <c:v>4643.0000000000009</c:v>
                </c:pt>
                <c:pt idx="19">
                  <c:v>4643.0000000000009</c:v>
                </c:pt>
              </c:numCache>
            </c:numRef>
          </c:val>
        </c:ser>
        <c:ser>
          <c:idx val="0"/>
          <c:order val="1"/>
          <c:tx>
            <c:v>2017 IRP</c:v>
          </c:tx>
          <c:spPr>
            <a:solidFill>
              <a:schemeClr val="accent6">
                <a:alpha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'Port 2017 IRP'!$F$24:$Y$24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1100</c:v>
                </c:pt>
                <c:pt idx="3">
                  <c:v>1100</c:v>
                </c:pt>
                <c:pt idx="4">
                  <c:v>1100</c:v>
                </c:pt>
                <c:pt idx="5">
                  <c:v>1100</c:v>
                </c:pt>
                <c:pt idx="6">
                  <c:v>1100</c:v>
                </c:pt>
                <c:pt idx="7">
                  <c:v>1100</c:v>
                </c:pt>
                <c:pt idx="8">
                  <c:v>1100</c:v>
                </c:pt>
                <c:pt idx="9">
                  <c:v>1100</c:v>
                </c:pt>
                <c:pt idx="10">
                  <c:v>1100</c:v>
                </c:pt>
                <c:pt idx="11">
                  <c:v>1100</c:v>
                </c:pt>
                <c:pt idx="12">
                  <c:v>1185.499</c:v>
                </c:pt>
                <c:pt idx="13">
                  <c:v>1185.499</c:v>
                </c:pt>
                <c:pt idx="14">
                  <c:v>1185.499</c:v>
                </c:pt>
                <c:pt idx="15">
                  <c:v>1185.499</c:v>
                </c:pt>
                <c:pt idx="16">
                  <c:v>1185.499</c:v>
                </c:pt>
                <c:pt idx="17">
                  <c:v>1959.4870000000001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413220680"/>
        <c:axId val="413215584"/>
      </c:barChart>
      <c:catAx>
        <c:axId val="4132206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215584"/>
        <c:crosses val="autoZero"/>
        <c:auto val="1"/>
        <c:lblAlgn val="ctr"/>
        <c:lblOffset val="100"/>
        <c:noMultiLvlLbl val="0"/>
      </c:catAx>
      <c:valAx>
        <c:axId val="413215584"/>
        <c:scaling>
          <c:orientation val="minMax"/>
          <c:max val="7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Cumulative 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220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2019 IRP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'Port P45CNW'!$D$55:$W$55</c:f>
              <c:numCache>
                <c:formatCode>General</c:formatCode>
                <c:ptCount val="20"/>
                <c:pt idx="0" formatCode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'Port P45CNW'!$D$31:$W$31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39.799999999999997</c:v>
                </c:pt>
                <c:pt idx="3">
                  <c:v>55.75</c:v>
                </c:pt>
                <c:pt idx="4">
                  <c:v>56.6</c:v>
                </c:pt>
                <c:pt idx="5">
                  <c:v>595</c:v>
                </c:pt>
                <c:pt idx="6">
                  <c:v>595</c:v>
                </c:pt>
                <c:pt idx="7">
                  <c:v>595</c:v>
                </c:pt>
                <c:pt idx="8">
                  <c:v>595</c:v>
                </c:pt>
                <c:pt idx="9">
                  <c:v>775</c:v>
                </c:pt>
                <c:pt idx="10">
                  <c:v>1302.3</c:v>
                </c:pt>
                <c:pt idx="11">
                  <c:v>1427.3</c:v>
                </c:pt>
                <c:pt idx="12">
                  <c:v>1457.3</c:v>
                </c:pt>
                <c:pt idx="13">
                  <c:v>1592.3999999999999</c:v>
                </c:pt>
                <c:pt idx="14">
                  <c:v>1711.1499999999999</c:v>
                </c:pt>
                <c:pt idx="15">
                  <c:v>1711.1499999999999</c:v>
                </c:pt>
                <c:pt idx="16">
                  <c:v>1711.1499999999999</c:v>
                </c:pt>
                <c:pt idx="17">
                  <c:v>1816</c:v>
                </c:pt>
                <c:pt idx="18">
                  <c:v>2045.9</c:v>
                </c:pt>
                <c:pt idx="19">
                  <c:v>2821.35</c:v>
                </c:pt>
              </c:numCache>
            </c:numRef>
          </c:val>
        </c:ser>
        <c:ser>
          <c:idx val="0"/>
          <c:order val="1"/>
          <c:tx>
            <c:v>2017 IRP (None)</c:v>
          </c:tx>
          <c:spPr>
            <a:solidFill>
              <a:schemeClr val="accent5">
                <a:alpha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'Port 2017 IRP'!$F$28:$Y$28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413219504"/>
        <c:axId val="413215976"/>
      </c:barChart>
      <c:catAx>
        <c:axId val="4132195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215976"/>
        <c:crosses val="autoZero"/>
        <c:auto val="1"/>
        <c:lblAlgn val="ctr"/>
        <c:lblOffset val="100"/>
        <c:noMultiLvlLbl val="0"/>
      </c:catAx>
      <c:valAx>
        <c:axId val="413215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Cumulative 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21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13</xdr:row>
      <xdr:rowOff>133350</xdr:rowOff>
    </xdr:from>
    <xdr:to>
      <xdr:col>8</xdr:col>
      <xdr:colOff>133350</xdr:colOff>
      <xdr:row>23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142875</xdr:colOff>
      <xdr:row>13</xdr:row>
      <xdr:rowOff>133350</xdr:rowOff>
    </xdr:from>
    <xdr:to>
      <xdr:col>15</xdr:col>
      <xdr:colOff>257176</xdr:colOff>
      <xdr:row>23</xdr:row>
      <xdr:rowOff>180975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133350</xdr:colOff>
      <xdr:row>3</xdr:row>
      <xdr:rowOff>76200</xdr:rowOff>
    </xdr:from>
    <xdr:to>
      <xdr:col>15</xdr:col>
      <xdr:colOff>247651</xdr:colOff>
      <xdr:row>13</xdr:row>
      <xdr:rowOff>123825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</xdr:colOff>
      <xdr:row>24</xdr:row>
      <xdr:rowOff>0</xdr:rowOff>
    </xdr:from>
    <xdr:to>
      <xdr:col>8</xdr:col>
      <xdr:colOff>142876</xdr:colOff>
      <xdr:row>34</xdr:row>
      <xdr:rowOff>47625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231774</xdr:colOff>
      <xdr:row>24</xdr:row>
      <xdr:rowOff>107949</xdr:rowOff>
    </xdr:from>
    <xdr:to>
      <xdr:col>22</xdr:col>
      <xdr:colOff>469900</xdr:colOff>
      <xdr:row>52</xdr:row>
      <xdr:rowOff>137582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3</xdr:row>
      <xdr:rowOff>71438</xdr:rowOff>
    </xdr:from>
    <xdr:to>
      <xdr:col>8</xdr:col>
      <xdr:colOff>114301</xdr:colOff>
      <xdr:row>13</xdr:row>
      <xdr:rowOff>119063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10584</xdr:colOff>
      <xdr:row>55</xdr:row>
      <xdr:rowOff>127000</xdr:rowOff>
    </xdr:from>
    <xdr:to>
      <xdr:col>15</xdr:col>
      <xdr:colOff>243417</xdr:colOff>
      <xdr:row>68</xdr:row>
      <xdr:rowOff>42333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10584</xdr:colOff>
      <xdr:row>68</xdr:row>
      <xdr:rowOff>63500</xdr:rowOff>
    </xdr:from>
    <xdr:to>
      <xdr:col>15</xdr:col>
      <xdr:colOff>243417</xdr:colOff>
      <xdr:row>80</xdr:row>
      <xdr:rowOff>169333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21166</xdr:colOff>
      <xdr:row>81</xdr:row>
      <xdr:rowOff>10584</xdr:rowOff>
    </xdr:from>
    <xdr:to>
      <xdr:col>15</xdr:col>
      <xdr:colOff>253999</xdr:colOff>
      <xdr:row>93</xdr:row>
      <xdr:rowOff>116417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21167</xdr:colOff>
      <xdr:row>93</xdr:row>
      <xdr:rowOff>137583</xdr:rowOff>
    </xdr:from>
    <xdr:to>
      <xdr:col>8</xdr:col>
      <xdr:colOff>137583</xdr:colOff>
      <xdr:row>106</xdr:row>
      <xdr:rowOff>52916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137584</xdr:colOff>
      <xdr:row>93</xdr:row>
      <xdr:rowOff>137583</xdr:rowOff>
    </xdr:from>
    <xdr:to>
      <xdr:col>15</xdr:col>
      <xdr:colOff>254001</xdr:colOff>
      <xdr:row>106</xdr:row>
      <xdr:rowOff>52916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21167</xdr:colOff>
      <xdr:row>106</xdr:row>
      <xdr:rowOff>95250</xdr:rowOff>
    </xdr:from>
    <xdr:to>
      <xdr:col>8</xdr:col>
      <xdr:colOff>137583</xdr:colOff>
      <xdr:row>119</xdr:row>
      <xdr:rowOff>10583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137584</xdr:colOff>
      <xdr:row>106</xdr:row>
      <xdr:rowOff>95250</xdr:rowOff>
    </xdr:from>
    <xdr:to>
      <xdr:col>15</xdr:col>
      <xdr:colOff>254001</xdr:colOff>
      <xdr:row>119</xdr:row>
      <xdr:rowOff>10583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21167</xdr:colOff>
      <xdr:row>119</xdr:row>
      <xdr:rowOff>63500</xdr:rowOff>
    </xdr:from>
    <xdr:to>
      <xdr:col>8</xdr:col>
      <xdr:colOff>137583</xdr:colOff>
      <xdr:row>131</xdr:row>
      <xdr:rowOff>169333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137584</xdr:colOff>
      <xdr:row>119</xdr:row>
      <xdr:rowOff>63500</xdr:rowOff>
    </xdr:from>
    <xdr:to>
      <xdr:col>15</xdr:col>
      <xdr:colOff>254001</xdr:colOff>
      <xdr:row>131</xdr:row>
      <xdr:rowOff>169333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21167</xdr:colOff>
      <xdr:row>132</xdr:row>
      <xdr:rowOff>0</xdr:rowOff>
    </xdr:from>
    <xdr:to>
      <xdr:col>15</xdr:col>
      <xdr:colOff>254000</xdr:colOff>
      <xdr:row>144</xdr:row>
      <xdr:rowOff>105833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10583</xdr:colOff>
      <xdr:row>144</xdr:row>
      <xdr:rowOff>137584</xdr:rowOff>
    </xdr:from>
    <xdr:to>
      <xdr:col>8</xdr:col>
      <xdr:colOff>126999</xdr:colOff>
      <xdr:row>157</xdr:row>
      <xdr:rowOff>52917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137583</xdr:colOff>
      <xdr:row>144</xdr:row>
      <xdr:rowOff>137583</xdr:rowOff>
    </xdr:from>
    <xdr:to>
      <xdr:col>15</xdr:col>
      <xdr:colOff>243416</xdr:colOff>
      <xdr:row>157</xdr:row>
      <xdr:rowOff>63500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2019%20IRP\Projects\Coal%20Studies%20(Oct)\Results\Reports%20(New)\Data%20Report%20Template_2018%2011%2023%20C01%20Benckmark%20L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Coal Retire"/>
      <sheetName val="PaR Report (New)"/>
      <sheetName val="SO Report (New)"/>
      <sheetName val="SO Coal Fixed Costs"/>
      <sheetName val="Cost Summary"/>
      <sheetName val="Emission by Resource Tons"/>
      <sheetName val="SO Summary"/>
      <sheetName val="PaR Coal Unit Report"/>
      <sheetName val="Credit Chart"/>
      <sheetName val="CREDITS"/>
      <sheetName val="&lt;-----REPORTS"/>
      <sheetName val="PVRRByStation"/>
      <sheetName val="StaMoPerf"/>
      <sheetName val="DecomCost"/>
      <sheetName val="Loads"/>
      <sheetName val="DSMEnergy"/>
      <sheetName val="SO_ENSEnergy"/>
      <sheetName val="DumpEnergy"/>
      <sheetName val="MktTrade"/>
      <sheetName val="ConPattern"/>
      <sheetName val="TieCF"/>
      <sheetName val="Portfolio"/>
      <sheetName val="StaBuild"/>
      <sheetName val="PaR_CostsByYr"/>
      <sheetName val="PaR_StationData"/>
      <sheetName val="TTL_Cost"/>
      <sheetName val="ENS_Cost"/>
      <sheetName val="ENS_Iterations"/>
      <sheetName val="Emission"/>
      <sheetName val="CA_ResDef"/>
      <sheetName val="TBL_REsourceMaster"/>
      <sheetName val="Mapping"/>
      <sheetName val="Report Cost Categories"/>
    </sheetNames>
    <sheetDataSet>
      <sheetData sheetId="0">
        <row r="5">
          <cell r="H5">
            <v>6.9199999999999998E-2</v>
          </cell>
        </row>
      </sheetData>
      <sheetData sheetId="1" refreshError="1"/>
      <sheetData sheetId="2">
        <row r="79">
          <cell r="C79">
            <v>19643.58168384057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A172"/>
  <sheetViews>
    <sheetView tabSelected="1" zoomScaleNormal="100" workbookViewId="0"/>
  </sheetViews>
  <sheetFormatPr defaultRowHeight="15" x14ac:dyDescent="0.25"/>
  <cols>
    <col min="1" max="2" width="9.140625" style="40"/>
    <col min="3" max="3" width="40.42578125" style="40" bestFit="1" customWidth="1"/>
    <col min="4" max="12" width="9.140625" style="40" customWidth="1"/>
    <col min="13" max="25" width="9.140625" style="40"/>
    <col min="26" max="26" width="10.5703125" style="40" bestFit="1" customWidth="1"/>
    <col min="27" max="16384" width="9.140625" style="40"/>
  </cols>
  <sheetData>
    <row r="2" spans="3:26" x14ac:dyDescent="0.25">
      <c r="I2" s="41">
        <f>I27-$B$25</f>
        <v>1821</v>
      </c>
      <c r="J2" s="41">
        <f t="shared" ref="J2:W2" si="0">J27-$B$25</f>
        <v>1821</v>
      </c>
      <c r="K2" s="41">
        <f t="shared" si="0"/>
        <v>1821</v>
      </c>
      <c r="L2" s="41">
        <f t="shared" si="0"/>
        <v>1821</v>
      </c>
      <c r="M2" s="41">
        <f t="shared" si="0"/>
        <v>1821</v>
      </c>
      <c r="N2" s="41">
        <f t="shared" si="0"/>
        <v>2180.4</v>
      </c>
      <c r="O2" s="41">
        <f t="shared" si="0"/>
        <v>2680.4</v>
      </c>
      <c r="P2" s="41">
        <f t="shared" si="0"/>
        <v>2680.4</v>
      </c>
      <c r="Q2" s="41">
        <f t="shared" si="0"/>
        <v>2680.4</v>
      </c>
      <c r="R2" s="41">
        <f t="shared" si="0"/>
        <v>3155.4</v>
      </c>
      <c r="S2" s="41">
        <f t="shared" si="0"/>
        <v>3155.4</v>
      </c>
      <c r="T2" s="41">
        <f t="shared" si="0"/>
        <v>3155.4</v>
      </c>
      <c r="U2" s="41">
        <f t="shared" si="0"/>
        <v>3574.8</v>
      </c>
      <c r="V2" s="41">
        <f t="shared" si="0"/>
        <v>4483.8</v>
      </c>
      <c r="W2" s="41">
        <f t="shared" si="0"/>
        <v>5185.6000000000004</v>
      </c>
    </row>
    <row r="3" spans="3:26" ht="27" x14ac:dyDescent="0.35">
      <c r="C3" s="42" t="s">
        <v>58</v>
      </c>
      <c r="I3" s="41">
        <f>I9-$B$20-$B$21-$B$23-$B$24</f>
        <v>1989.2000000000003</v>
      </c>
      <c r="J3" s="41">
        <f t="shared" ref="J3:W3" si="1">J9-$B$20-$B$21-$B$23-$B$24</f>
        <v>1989.2000000000003</v>
      </c>
      <c r="K3" s="41">
        <f t="shared" si="1"/>
        <v>1989.2000000000003</v>
      </c>
      <c r="L3" s="41">
        <f t="shared" si="1"/>
        <v>1989.2000000000003</v>
      </c>
      <c r="M3" s="41">
        <f t="shared" si="1"/>
        <v>1989.2000000000003</v>
      </c>
      <c r="N3" s="41">
        <f t="shared" si="1"/>
        <v>1999.0000000000005</v>
      </c>
      <c r="O3" s="41">
        <f t="shared" si="1"/>
        <v>3038.6000000000013</v>
      </c>
      <c r="P3" s="41">
        <f t="shared" si="1"/>
        <v>3038.6000000000013</v>
      </c>
      <c r="Q3" s="41">
        <f t="shared" si="1"/>
        <v>3099.0000000000009</v>
      </c>
      <c r="R3" s="41">
        <f t="shared" si="1"/>
        <v>3099.0000000000009</v>
      </c>
      <c r="S3" s="41">
        <f t="shared" si="1"/>
        <v>3099.0000000000009</v>
      </c>
      <c r="T3" s="41">
        <f t="shared" si="1"/>
        <v>3099.0000000000009</v>
      </c>
      <c r="U3" s="41">
        <f t="shared" si="1"/>
        <v>3099.0000000000009</v>
      </c>
      <c r="V3" s="41">
        <f t="shared" si="1"/>
        <v>3109.6000000000013</v>
      </c>
      <c r="W3" s="41">
        <f t="shared" si="1"/>
        <v>3109.6000000000013</v>
      </c>
    </row>
    <row r="4" spans="3:26" ht="15.75" x14ac:dyDescent="0.25">
      <c r="C4" s="43" t="s">
        <v>69</v>
      </c>
      <c r="D4" s="2">
        <v>2019</v>
      </c>
      <c r="E4" s="3">
        <v>2020</v>
      </c>
      <c r="F4" s="3">
        <v>2021</v>
      </c>
      <c r="G4" s="3">
        <v>2022</v>
      </c>
      <c r="H4" s="3">
        <v>2023</v>
      </c>
      <c r="I4" s="3">
        <v>2024</v>
      </c>
      <c r="J4" s="3">
        <v>2025</v>
      </c>
      <c r="K4" s="3">
        <v>2026</v>
      </c>
      <c r="L4" s="3">
        <v>2027</v>
      </c>
      <c r="M4" s="3">
        <v>2028</v>
      </c>
      <c r="N4" s="3">
        <v>2029</v>
      </c>
      <c r="O4" s="3">
        <v>2030</v>
      </c>
      <c r="P4" s="3">
        <v>2031</v>
      </c>
      <c r="Q4" s="3">
        <v>2032</v>
      </c>
      <c r="R4" s="3">
        <v>2033</v>
      </c>
      <c r="S4" s="3">
        <v>2034</v>
      </c>
      <c r="T4" s="3">
        <v>2035</v>
      </c>
      <c r="U4" s="3">
        <v>2036</v>
      </c>
      <c r="V4" s="3">
        <v>2037</v>
      </c>
      <c r="W4" s="3">
        <v>2038</v>
      </c>
    </row>
    <row r="5" spans="3:26" x14ac:dyDescent="0.25">
      <c r="C5" s="40" t="s">
        <v>73</v>
      </c>
      <c r="D5" s="44">
        <f>SUMIF($A$69:$A$500,$C5,D$69:D$500)</f>
        <v>0</v>
      </c>
      <c r="E5" s="44">
        <f t="shared" ref="E5:W5" si="2">SUMIF($A$69:$A$500,$C5,E$69:E$500)</f>
        <v>-280</v>
      </c>
      <c r="F5" s="44">
        <f t="shared" si="2"/>
        <v>-387</v>
      </c>
      <c r="G5" s="44">
        <f t="shared" si="2"/>
        <v>0</v>
      </c>
      <c r="H5" s="44">
        <f t="shared" si="2"/>
        <v>0</v>
      </c>
      <c r="I5" s="44">
        <f t="shared" si="2"/>
        <v>-350.5</v>
      </c>
      <c r="J5" s="44">
        <f t="shared" si="2"/>
        <v>0</v>
      </c>
      <c r="K5" s="44">
        <f t="shared" si="2"/>
        <v>-439.3</v>
      </c>
      <c r="L5" s="44">
        <f t="shared" si="2"/>
        <v>-81.5</v>
      </c>
      <c r="M5" s="44">
        <f t="shared" si="2"/>
        <v>-903</v>
      </c>
      <c r="N5" s="44">
        <f t="shared" si="2"/>
        <v>-355.8</v>
      </c>
      <c r="O5" s="44">
        <f t="shared" si="2"/>
        <v>0</v>
      </c>
      <c r="P5" s="44">
        <f t="shared" si="2"/>
        <v>-76.599999999999994</v>
      </c>
      <c r="Q5" s="44">
        <f t="shared" si="2"/>
        <v>0</v>
      </c>
      <c r="R5" s="44">
        <f t="shared" si="2"/>
        <v>0</v>
      </c>
      <c r="S5" s="44">
        <f t="shared" si="2"/>
        <v>0</v>
      </c>
      <c r="T5" s="44">
        <f t="shared" si="2"/>
        <v>0</v>
      </c>
      <c r="U5" s="44">
        <f t="shared" si="2"/>
        <v>0</v>
      </c>
      <c r="V5" s="44">
        <f t="shared" si="2"/>
        <v>-909</v>
      </c>
      <c r="W5" s="44">
        <f t="shared" si="2"/>
        <v>-702</v>
      </c>
    </row>
    <row r="7" spans="3:26" ht="15.75" x14ac:dyDescent="0.25">
      <c r="C7" s="43" t="s">
        <v>70</v>
      </c>
      <c r="D7" s="2">
        <v>2019</v>
      </c>
      <c r="E7" s="3">
        <v>2020</v>
      </c>
      <c r="F7" s="3">
        <v>2021</v>
      </c>
      <c r="G7" s="3">
        <v>2022</v>
      </c>
      <c r="H7" s="3">
        <v>2023</v>
      </c>
      <c r="I7" s="3">
        <v>2024</v>
      </c>
      <c r="J7" s="3">
        <v>2025</v>
      </c>
      <c r="K7" s="3">
        <v>2026</v>
      </c>
      <c r="L7" s="3">
        <v>2027</v>
      </c>
      <c r="M7" s="3">
        <v>2028</v>
      </c>
      <c r="N7" s="3">
        <v>2029</v>
      </c>
      <c r="O7" s="3">
        <v>2030</v>
      </c>
      <c r="P7" s="3">
        <v>2031</v>
      </c>
      <c r="Q7" s="3">
        <v>2032</v>
      </c>
      <c r="R7" s="3">
        <v>2033</v>
      </c>
      <c r="S7" s="3">
        <v>2034</v>
      </c>
      <c r="T7" s="3">
        <v>2035</v>
      </c>
      <c r="U7" s="3">
        <v>2036</v>
      </c>
      <c r="V7" s="3">
        <v>2037</v>
      </c>
      <c r="W7" s="3">
        <v>2038</v>
      </c>
      <c r="Y7" s="40" t="s">
        <v>210</v>
      </c>
      <c r="Z7" s="45">
        <f>SUM(D85:W85)+SUM(D132:W132)</f>
        <v>-593.30000000000007</v>
      </c>
    </row>
    <row r="8" spans="3:26" x14ac:dyDescent="0.25">
      <c r="C8" s="40" t="s">
        <v>73</v>
      </c>
      <c r="D8" s="44">
        <f>D5</f>
        <v>0</v>
      </c>
      <c r="E8" s="44">
        <f>E5+D8</f>
        <v>-280</v>
      </c>
      <c r="F8" s="44">
        <f t="shared" ref="F8:W8" si="3">F5+E8</f>
        <v>-667</v>
      </c>
      <c r="G8" s="44">
        <f t="shared" si="3"/>
        <v>-667</v>
      </c>
      <c r="H8" s="44">
        <f t="shared" si="3"/>
        <v>-667</v>
      </c>
      <c r="I8" s="44">
        <f t="shared" si="3"/>
        <v>-1017.5</v>
      </c>
      <c r="J8" s="44">
        <f t="shared" si="3"/>
        <v>-1017.5</v>
      </c>
      <c r="K8" s="44">
        <f t="shared" si="3"/>
        <v>-1456.8</v>
      </c>
      <c r="L8" s="44">
        <f t="shared" si="3"/>
        <v>-1538.3</v>
      </c>
      <c r="M8" s="44">
        <f t="shared" si="3"/>
        <v>-2441.3000000000002</v>
      </c>
      <c r="N8" s="44">
        <f t="shared" si="3"/>
        <v>-2797.1000000000004</v>
      </c>
      <c r="O8" s="44">
        <f t="shared" si="3"/>
        <v>-2797.1000000000004</v>
      </c>
      <c r="P8" s="44">
        <f t="shared" si="3"/>
        <v>-2873.7000000000003</v>
      </c>
      <c r="Q8" s="44">
        <f t="shared" si="3"/>
        <v>-2873.7000000000003</v>
      </c>
      <c r="R8" s="44">
        <f t="shared" si="3"/>
        <v>-2873.7000000000003</v>
      </c>
      <c r="S8" s="44">
        <f t="shared" si="3"/>
        <v>-2873.7000000000003</v>
      </c>
      <c r="T8" s="44">
        <f t="shared" si="3"/>
        <v>-2873.7000000000003</v>
      </c>
      <c r="U8" s="44">
        <f t="shared" si="3"/>
        <v>-2873.7000000000003</v>
      </c>
      <c r="V8" s="44">
        <f t="shared" si="3"/>
        <v>-3782.7000000000003</v>
      </c>
      <c r="W8" s="44">
        <f t="shared" si="3"/>
        <v>-4484.7000000000007</v>
      </c>
      <c r="Y8" s="40" t="s">
        <v>211</v>
      </c>
      <c r="Z8" s="41">
        <f>W44+W41</f>
        <v>1872.5000000000002</v>
      </c>
    </row>
    <row r="9" spans="3:26" x14ac:dyDescent="0.25">
      <c r="C9" s="40" t="s">
        <v>28</v>
      </c>
      <c r="D9" s="41">
        <f>D24+D26</f>
        <v>23.4</v>
      </c>
      <c r="E9" s="41">
        <f t="shared" ref="E9:W9" si="4">E24+E26</f>
        <v>23.4</v>
      </c>
      <c r="F9" s="41">
        <f t="shared" si="4"/>
        <v>1533.4</v>
      </c>
      <c r="G9" s="41">
        <f t="shared" si="4"/>
        <v>1533.4</v>
      </c>
      <c r="H9" s="41">
        <f t="shared" si="4"/>
        <v>1602.6000000000001</v>
      </c>
      <c r="I9" s="41">
        <f t="shared" si="4"/>
        <v>3522.6000000000004</v>
      </c>
      <c r="J9" s="41">
        <f t="shared" si="4"/>
        <v>3522.6000000000004</v>
      </c>
      <c r="K9" s="41">
        <f t="shared" si="4"/>
        <v>3522.6000000000004</v>
      </c>
      <c r="L9" s="41">
        <f t="shared" si="4"/>
        <v>3522.6000000000004</v>
      </c>
      <c r="M9" s="41">
        <f t="shared" si="4"/>
        <v>3522.6000000000004</v>
      </c>
      <c r="N9" s="41">
        <f t="shared" si="4"/>
        <v>3532.4000000000005</v>
      </c>
      <c r="O9" s="41">
        <f t="shared" si="4"/>
        <v>4572.0000000000009</v>
      </c>
      <c r="P9" s="41">
        <f t="shared" si="4"/>
        <v>4572.0000000000009</v>
      </c>
      <c r="Q9" s="41">
        <f t="shared" si="4"/>
        <v>4632.4000000000005</v>
      </c>
      <c r="R9" s="41">
        <f t="shared" si="4"/>
        <v>4632.4000000000005</v>
      </c>
      <c r="S9" s="41">
        <f t="shared" si="4"/>
        <v>4632.4000000000005</v>
      </c>
      <c r="T9" s="41">
        <f t="shared" si="4"/>
        <v>4632.4000000000005</v>
      </c>
      <c r="U9" s="41">
        <f t="shared" si="4"/>
        <v>4632.4000000000005</v>
      </c>
      <c r="V9" s="41">
        <f t="shared" si="4"/>
        <v>4643.0000000000009</v>
      </c>
      <c r="W9" s="41">
        <f t="shared" si="4"/>
        <v>4643.0000000000009</v>
      </c>
      <c r="Z9" s="46">
        <f>Z8+Z7+W8</f>
        <v>-3205.5000000000005</v>
      </c>
    </row>
    <row r="10" spans="3:26" ht="27" x14ac:dyDescent="0.35">
      <c r="C10" s="42" t="s">
        <v>71</v>
      </c>
    </row>
    <row r="11" spans="3:26" ht="15.75" x14ac:dyDescent="0.25">
      <c r="C11" s="43" t="s">
        <v>69</v>
      </c>
      <c r="D11" s="2">
        <v>2019</v>
      </c>
      <c r="E11" s="3">
        <v>2020</v>
      </c>
      <c r="F11" s="3">
        <v>2021</v>
      </c>
      <c r="G11" s="3">
        <v>2022</v>
      </c>
      <c r="H11" s="3">
        <v>2023</v>
      </c>
      <c r="I11" s="3">
        <v>2024</v>
      </c>
      <c r="J11" s="3">
        <v>2025</v>
      </c>
      <c r="K11" s="3">
        <v>2026</v>
      </c>
      <c r="L11" s="3">
        <v>2027</v>
      </c>
      <c r="M11" s="3">
        <v>2028</v>
      </c>
      <c r="N11" s="3">
        <v>2029</v>
      </c>
      <c r="O11" s="3">
        <v>2030</v>
      </c>
      <c r="P11" s="3">
        <v>2031</v>
      </c>
      <c r="Q11" s="3">
        <v>2032</v>
      </c>
      <c r="R11" s="3">
        <v>2033</v>
      </c>
      <c r="S11" s="3">
        <v>2034</v>
      </c>
      <c r="T11" s="3">
        <v>2035</v>
      </c>
      <c r="U11" s="3">
        <v>2036</v>
      </c>
      <c r="V11" s="3">
        <v>2037</v>
      </c>
      <c r="W11" s="3">
        <v>2038</v>
      </c>
    </row>
    <row r="12" spans="3:26" x14ac:dyDescent="0.25">
      <c r="C12" s="40" t="s">
        <v>59</v>
      </c>
      <c r="D12" s="44">
        <f>SUMIF($A$69:$A$500,$C12,D$69:D$500)</f>
        <v>0</v>
      </c>
      <c r="E12" s="44">
        <f t="shared" ref="E12:T21" si="5">SUMIF($A$69:$A$500,$C12,E$69:E$500)</f>
        <v>0</v>
      </c>
      <c r="F12" s="44">
        <f t="shared" si="5"/>
        <v>0</v>
      </c>
      <c r="G12" s="44">
        <f t="shared" si="5"/>
        <v>0</v>
      </c>
      <c r="H12" s="44">
        <f t="shared" si="5"/>
        <v>69.2</v>
      </c>
      <c r="I12" s="44">
        <f t="shared" si="5"/>
        <v>1920</v>
      </c>
      <c r="J12" s="44">
        <f t="shared" si="5"/>
        <v>0</v>
      </c>
      <c r="K12" s="44">
        <f t="shared" si="5"/>
        <v>0</v>
      </c>
      <c r="L12" s="44">
        <f t="shared" si="5"/>
        <v>0</v>
      </c>
      <c r="M12" s="44">
        <f t="shared" si="5"/>
        <v>0</v>
      </c>
      <c r="N12" s="44">
        <f t="shared" si="5"/>
        <v>0</v>
      </c>
      <c r="O12" s="44">
        <f t="shared" si="5"/>
        <v>1039.5999999999999</v>
      </c>
      <c r="P12" s="44">
        <f t="shared" si="5"/>
        <v>0</v>
      </c>
      <c r="Q12" s="44">
        <f t="shared" si="5"/>
        <v>0</v>
      </c>
      <c r="R12" s="44">
        <f t="shared" si="5"/>
        <v>0</v>
      </c>
      <c r="S12" s="44">
        <f t="shared" si="5"/>
        <v>0</v>
      </c>
      <c r="T12" s="44">
        <f t="shared" si="5"/>
        <v>0</v>
      </c>
      <c r="U12" s="44">
        <f t="shared" ref="U12:W21" si="6">SUMIF($A$69:$A$500,$C12,U$69:U$500)</f>
        <v>0</v>
      </c>
      <c r="V12" s="44">
        <f t="shared" si="6"/>
        <v>0</v>
      </c>
      <c r="W12" s="44">
        <f t="shared" si="6"/>
        <v>0</v>
      </c>
    </row>
    <row r="13" spans="3:26" x14ac:dyDescent="0.25">
      <c r="C13" s="40" t="s">
        <v>60</v>
      </c>
      <c r="D13" s="44">
        <f t="shared" ref="D13:D21" si="7">SUMIF($A$69:$A$500,$C13,D$69:D$500)</f>
        <v>0</v>
      </c>
      <c r="E13" s="44">
        <f t="shared" si="5"/>
        <v>0</v>
      </c>
      <c r="F13" s="44">
        <f t="shared" si="5"/>
        <v>0</v>
      </c>
      <c r="G13" s="44">
        <f t="shared" si="5"/>
        <v>0</v>
      </c>
      <c r="H13" s="44">
        <f t="shared" si="5"/>
        <v>0</v>
      </c>
      <c r="I13" s="44">
        <f t="shared" si="5"/>
        <v>0</v>
      </c>
      <c r="J13" s="44">
        <f t="shared" si="5"/>
        <v>0</v>
      </c>
      <c r="K13" s="44">
        <f t="shared" si="5"/>
        <v>0</v>
      </c>
      <c r="L13" s="44">
        <f t="shared" si="5"/>
        <v>0</v>
      </c>
      <c r="M13" s="44">
        <f t="shared" si="5"/>
        <v>0</v>
      </c>
      <c r="N13" s="44">
        <f t="shared" si="5"/>
        <v>0</v>
      </c>
      <c r="O13" s="44">
        <f t="shared" si="5"/>
        <v>0</v>
      </c>
      <c r="P13" s="44">
        <f t="shared" si="5"/>
        <v>0</v>
      </c>
      <c r="Q13" s="44">
        <f t="shared" si="5"/>
        <v>0</v>
      </c>
      <c r="R13" s="44">
        <f t="shared" si="5"/>
        <v>0</v>
      </c>
      <c r="S13" s="44">
        <f t="shared" si="5"/>
        <v>0</v>
      </c>
      <c r="T13" s="44">
        <f t="shared" si="5"/>
        <v>0</v>
      </c>
      <c r="U13" s="44">
        <f t="shared" si="6"/>
        <v>0</v>
      </c>
      <c r="V13" s="44">
        <f t="shared" si="6"/>
        <v>0</v>
      </c>
      <c r="W13" s="44">
        <f t="shared" si="6"/>
        <v>0</v>
      </c>
    </row>
    <row r="14" spans="3:26" x14ac:dyDescent="0.25">
      <c r="C14" s="40" t="s">
        <v>68</v>
      </c>
      <c r="D14" s="44">
        <f t="shared" si="7"/>
        <v>0</v>
      </c>
      <c r="E14" s="44">
        <f t="shared" si="5"/>
        <v>0</v>
      </c>
      <c r="F14" s="44">
        <f t="shared" si="5"/>
        <v>0</v>
      </c>
      <c r="G14" s="44">
        <f t="shared" si="5"/>
        <v>0</v>
      </c>
      <c r="H14" s="44">
        <f t="shared" si="5"/>
        <v>0</v>
      </c>
      <c r="I14" s="44">
        <f t="shared" si="5"/>
        <v>0</v>
      </c>
      <c r="J14" s="44">
        <f t="shared" si="5"/>
        <v>0</v>
      </c>
      <c r="K14" s="44">
        <f t="shared" si="5"/>
        <v>0</v>
      </c>
      <c r="L14" s="44">
        <f t="shared" si="5"/>
        <v>0</v>
      </c>
      <c r="M14" s="44">
        <f t="shared" si="5"/>
        <v>0</v>
      </c>
      <c r="N14" s="44">
        <f t="shared" si="5"/>
        <v>9.8000000000000007</v>
      </c>
      <c r="O14" s="44">
        <f t="shared" si="5"/>
        <v>0</v>
      </c>
      <c r="P14" s="44">
        <f t="shared" si="5"/>
        <v>0</v>
      </c>
      <c r="Q14" s="44">
        <f t="shared" si="5"/>
        <v>60.4</v>
      </c>
      <c r="R14" s="44">
        <f t="shared" si="5"/>
        <v>0</v>
      </c>
      <c r="S14" s="44">
        <f t="shared" si="5"/>
        <v>0</v>
      </c>
      <c r="T14" s="44">
        <f t="shared" si="5"/>
        <v>0</v>
      </c>
      <c r="U14" s="44">
        <f t="shared" si="6"/>
        <v>0</v>
      </c>
      <c r="V14" s="44">
        <f t="shared" si="6"/>
        <v>10.6</v>
      </c>
      <c r="W14" s="44">
        <f t="shared" si="6"/>
        <v>0</v>
      </c>
    </row>
    <row r="15" spans="3:26" x14ac:dyDescent="0.25">
      <c r="C15" s="40" t="s">
        <v>65</v>
      </c>
      <c r="D15" s="44">
        <f t="shared" si="7"/>
        <v>0</v>
      </c>
      <c r="E15" s="44">
        <f t="shared" si="5"/>
        <v>0</v>
      </c>
      <c r="F15" s="44">
        <f t="shared" si="5"/>
        <v>159.19999999999999</v>
      </c>
      <c r="G15" s="44">
        <f t="shared" si="5"/>
        <v>63.8</v>
      </c>
      <c r="H15" s="44">
        <f t="shared" si="5"/>
        <v>3.4</v>
      </c>
      <c r="I15" s="44">
        <f t="shared" si="5"/>
        <v>2153.6</v>
      </c>
      <c r="J15" s="44">
        <f t="shared" si="5"/>
        <v>0</v>
      </c>
      <c r="K15" s="44">
        <f t="shared" si="5"/>
        <v>0</v>
      </c>
      <c r="L15" s="44">
        <f t="shared" si="5"/>
        <v>0</v>
      </c>
      <c r="M15" s="44">
        <f t="shared" si="5"/>
        <v>0</v>
      </c>
      <c r="N15" s="44">
        <f t="shared" si="5"/>
        <v>359.4</v>
      </c>
      <c r="O15" s="44">
        <f t="shared" si="5"/>
        <v>500</v>
      </c>
      <c r="P15" s="44">
        <f t="shared" si="5"/>
        <v>0</v>
      </c>
      <c r="Q15" s="44">
        <f t="shared" si="5"/>
        <v>0</v>
      </c>
      <c r="R15" s="44">
        <f t="shared" si="5"/>
        <v>475</v>
      </c>
      <c r="S15" s="44">
        <f t="shared" si="5"/>
        <v>0</v>
      </c>
      <c r="T15" s="44">
        <f t="shared" si="5"/>
        <v>0</v>
      </c>
      <c r="U15" s="44">
        <f t="shared" si="6"/>
        <v>419.4</v>
      </c>
      <c r="V15" s="44">
        <f t="shared" si="6"/>
        <v>909</v>
      </c>
      <c r="W15" s="44">
        <f t="shared" si="6"/>
        <v>701.8</v>
      </c>
    </row>
    <row r="16" spans="3:26" x14ac:dyDescent="0.25">
      <c r="C16" s="40" t="s">
        <v>72</v>
      </c>
      <c r="D16" s="44">
        <f t="shared" si="7"/>
        <v>0</v>
      </c>
      <c r="E16" s="44">
        <f t="shared" si="5"/>
        <v>0</v>
      </c>
      <c r="F16" s="44">
        <f t="shared" si="5"/>
        <v>0</v>
      </c>
      <c r="G16" s="44">
        <f t="shared" si="5"/>
        <v>0</v>
      </c>
      <c r="H16" s="44">
        <f t="shared" si="5"/>
        <v>0</v>
      </c>
      <c r="I16" s="44">
        <f t="shared" si="5"/>
        <v>0</v>
      </c>
      <c r="J16" s="44">
        <f t="shared" si="5"/>
        <v>0</v>
      </c>
      <c r="K16" s="44">
        <f t="shared" si="5"/>
        <v>0</v>
      </c>
      <c r="L16" s="44">
        <f t="shared" si="5"/>
        <v>0</v>
      </c>
      <c r="M16" s="44">
        <f t="shared" si="5"/>
        <v>180</v>
      </c>
      <c r="N16" s="44">
        <f t="shared" si="5"/>
        <v>435</v>
      </c>
      <c r="O16" s="44">
        <f t="shared" si="5"/>
        <v>0</v>
      </c>
      <c r="P16" s="44">
        <f t="shared" si="5"/>
        <v>30</v>
      </c>
      <c r="Q16" s="44">
        <f t="shared" si="5"/>
        <v>120</v>
      </c>
      <c r="R16" s="44">
        <f t="shared" si="5"/>
        <v>0</v>
      </c>
      <c r="S16" s="44">
        <f t="shared" si="5"/>
        <v>0</v>
      </c>
      <c r="T16" s="44">
        <f t="shared" si="5"/>
        <v>0</v>
      </c>
      <c r="U16" s="44">
        <f t="shared" si="6"/>
        <v>0</v>
      </c>
      <c r="V16" s="44">
        <f t="shared" si="6"/>
        <v>0</v>
      </c>
      <c r="W16" s="44">
        <f t="shared" si="6"/>
        <v>600</v>
      </c>
    </row>
    <row r="17" spans="1:27" x14ac:dyDescent="0.25">
      <c r="C17" s="40" t="s">
        <v>93</v>
      </c>
      <c r="D17" s="44">
        <f t="shared" si="7"/>
        <v>0</v>
      </c>
      <c r="E17" s="44">
        <f t="shared" si="5"/>
        <v>0</v>
      </c>
      <c r="F17" s="44">
        <f t="shared" si="5"/>
        <v>0</v>
      </c>
      <c r="G17" s="44">
        <f t="shared" si="5"/>
        <v>0</v>
      </c>
      <c r="H17" s="44">
        <f t="shared" si="5"/>
        <v>0</v>
      </c>
      <c r="I17" s="44">
        <f t="shared" si="5"/>
        <v>0</v>
      </c>
      <c r="J17" s="44">
        <f t="shared" si="5"/>
        <v>0</v>
      </c>
      <c r="K17" s="44">
        <f t="shared" si="5"/>
        <v>0</v>
      </c>
      <c r="L17" s="44">
        <f t="shared" si="5"/>
        <v>0</v>
      </c>
      <c r="M17" s="44">
        <f t="shared" si="5"/>
        <v>0</v>
      </c>
      <c r="N17" s="44">
        <f t="shared" si="5"/>
        <v>0</v>
      </c>
      <c r="O17" s="44">
        <f t="shared" si="5"/>
        <v>0</v>
      </c>
      <c r="P17" s="44">
        <f t="shared" si="5"/>
        <v>0</v>
      </c>
      <c r="Q17" s="44">
        <f t="shared" si="5"/>
        <v>0</v>
      </c>
      <c r="R17" s="44">
        <f t="shared" si="5"/>
        <v>0</v>
      </c>
      <c r="S17" s="44">
        <f t="shared" si="5"/>
        <v>0</v>
      </c>
      <c r="T17" s="44">
        <f t="shared" si="5"/>
        <v>0</v>
      </c>
      <c r="U17" s="44">
        <f t="shared" si="6"/>
        <v>0</v>
      </c>
      <c r="V17" s="44">
        <f t="shared" si="6"/>
        <v>0</v>
      </c>
      <c r="W17" s="44">
        <f t="shared" si="6"/>
        <v>0</v>
      </c>
    </row>
    <row r="18" spans="1:27" x14ac:dyDescent="0.25">
      <c r="C18" s="40" t="s">
        <v>75</v>
      </c>
      <c r="D18" s="44">
        <f t="shared" si="7"/>
        <v>0</v>
      </c>
      <c r="E18" s="44">
        <f t="shared" si="5"/>
        <v>-1.1000000000000001</v>
      </c>
      <c r="F18" s="44">
        <f t="shared" si="5"/>
        <v>-168.90000000000003</v>
      </c>
      <c r="G18" s="44">
        <f t="shared" si="5"/>
        <v>0</v>
      </c>
      <c r="H18" s="44">
        <f t="shared" si="5"/>
        <v>-0.7</v>
      </c>
      <c r="I18" s="44">
        <f t="shared" si="5"/>
        <v>-20.28</v>
      </c>
      <c r="J18" s="44">
        <f t="shared" si="5"/>
        <v>0</v>
      </c>
      <c r="K18" s="44">
        <f t="shared" si="5"/>
        <v>-1.4</v>
      </c>
      <c r="L18" s="44">
        <f t="shared" si="5"/>
        <v>0</v>
      </c>
      <c r="M18" s="44">
        <f t="shared" si="5"/>
        <v>-7.2</v>
      </c>
      <c r="N18" s="44">
        <f t="shared" si="5"/>
        <v>0</v>
      </c>
      <c r="O18" s="44">
        <f t="shared" si="5"/>
        <v>0</v>
      </c>
      <c r="P18" s="44">
        <f t="shared" si="5"/>
        <v>-6.4</v>
      </c>
      <c r="Q18" s="44">
        <f t="shared" si="5"/>
        <v>0</v>
      </c>
      <c r="R18" s="44">
        <f t="shared" si="5"/>
        <v>0</v>
      </c>
      <c r="S18" s="44">
        <f t="shared" si="5"/>
        <v>-74.900000000000006</v>
      </c>
      <c r="T18" s="44">
        <f t="shared" si="5"/>
        <v>0</v>
      </c>
      <c r="U18" s="44">
        <f t="shared" si="6"/>
        <v>-1.2</v>
      </c>
      <c r="V18" s="44">
        <f t="shared" si="6"/>
        <v>0</v>
      </c>
      <c r="W18" s="44">
        <f t="shared" si="6"/>
        <v>0</v>
      </c>
    </row>
    <row r="19" spans="1:27" x14ac:dyDescent="0.25">
      <c r="C19" s="40" t="s">
        <v>76</v>
      </c>
      <c r="D19" s="44">
        <f t="shared" si="7"/>
        <v>0</v>
      </c>
      <c r="E19" s="44">
        <f t="shared" si="5"/>
        <v>-26.55</v>
      </c>
      <c r="F19" s="44">
        <f t="shared" si="5"/>
        <v>-16.8</v>
      </c>
      <c r="G19" s="44">
        <f t="shared" si="5"/>
        <v>-224</v>
      </c>
      <c r="H19" s="44">
        <f t="shared" si="5"/>
        <v>-0.2</v>
      </c>
      <c r="I19" s="44">
        <f t="shared" si="5"/>
        <v>-41</v>
      </c>
      <c r="J19" s="44">
        <f t="shared" si="5"/>
        <v>0</v>
      </c>
      <c r="K19" s="44">
        <f t="shared" si="5"/>
        <v>-64.5</v>
      </c>
      <c r="L19" s="44">
        <f t="shared" si="5"/>
        <v>-3</v>
      </c>
      <c r="M19" s="44">
        <f t="shared" si="5"/>
        <v>0</v>
      </c>
      <c r="N19" s="44">
        <f t="shared" si="5"/>
        <v>-93.4</v>
      </c>
      <c r="O19" s="44">
        <f t="shared" si="5"/>
        <v>-149.1</v>
      </c>
      <c r="P19" s="44">
        <f t="shared" si="5"/>
        <v>-200.2</v>
      </c>
      <c r="Q19" s="44">
        <f t="shared" si="5"/>
        <v>-65</v>
      </c>
      <c r="R19" s="44">
        <f t="shared" si="5"/>
        <v>-200.9</v>
      </c>
      <c r="S19" s="44">
        <f t="shared" si="5"/>
        <v>-80</v>
      </c>
      <c r="T19" s="44">
        <f t="shared" si="5"/>
        <v>0</v>
      </c>
      <c r="U19" s="44">
        <f t="shared" si="6"/>
        <v>-70</v>
      </c>
      <c r="V19" s="44">
        <f t="shared" si="6"/>
        <v>-90</v>
      </c>
      <c r="W19" s="44">
        <f t="shared" si="6"/>
        <v>0</v>
      </c>
    </row>
    <row r="20" spans="1:27" x14ac:dyDescent="0.25">
      <c r="A20" s="40" t="s">
        <v>180</v>
      </c>
      <c r="B20" s="47">
        <v>240</v>
      </c>
      <c r="C20" s="40" t="s">
        <v>77</v>
      </c>
      <c r="D20" s="44">
        <f t="shared" si="7"/>
        <v>0</v>
      </c>
      <c r="E20" s="44">
        <f t="shared" si="5"/>
        <v>0</v>
      </c>
      <c r="F20" s="44">
        <f t="shared" si="5"/>
        <v>0</v>
      </c>
      <c r="G20" s="44">
        <f t="shared" si="5"/>
        <v>0</v>
      </c>
      <c r="H20" s="44">
        <f t="shared" si="5"/>
        <v>-0.5</v>
      </c>
      <c r="I20" s="44">
        <f t="shared" si="5"/>
        <v>-0.52</v>
      </c>
      <c r="J20" s="44">
        <f t="shared" si="5"/>
        <v>0</v>
      </c>
      <c r="K20" s="44">
        <f t="shared" si="5"/>
        <v>0</v>
      </c>
      <c r="L20" s="44">
        <f t="shared" si="5"/>
        <v>0</v>
      </c>
      <c r="M20" s="44">
        <f t="shared" si="5"/>
        <v>-2</v>
      </c>
      <c r="N20" s="44">
        <f t="shared" si="5"/>
        <v>0</v>
      </c>
      <c r="O20" s="44">
        <f t="shared" si="5"/>
        <v>0</v>
      </c>
      <c r="P20" s="44">
        <f t="shared" si="5"/>
        <v>-67</v>
      </c>
      <c r="Q20" s="44">
        <f t="shared" si="5"/>
        <v>-48.9</v>
      </c>
      <c r="R20" s="44">
        <f t="shared" si="5"/>
        <v>0</v>
      </c>
      <c r="S20" s="44">
        <f t="shared" si="5"/>
        <v>0</v>
      </c>
      <c r="T20" s="44">
        <f t="shared" si="5"/>
        <v>-35.9</v>
      </c>
      <c r="U20" s="44">
        <f t="shared" si="6"/>
        <v>-209.10000000000002</v>
      </c>
      <c r="V20" s="44">
        <f t="shared" si="6"/>
        <v>-1024.2</v>
      </c>
      <c r="W20" s="44">
        <f t="shared" si="6"/>
        <v>-10.9</v>
      </c>
    </row>
    <row r="21" spans="1:27" x14ac:dyDescent="0.25">
      <c r="A21" s="40" t="s">
        <v>179</v>
      </c>
      <c r="B21" s="47">
        <f>7.8+15.6</f>
        <v>23.4</v>
      </c>
      <c r="C21" s="40" t="s">
        <v>78</v>
      </c>
      <c r="D21" s="44">
        <f t="shared" si="7"/>
        <v>0</v>
      </c>
      <c r="E21" s="44">
        <f t="shared" si="5"/>
        <v>0</v>
      </c>
      <c r="F21" s="44">
        <f t="shared" si="5"/>
        <v>0</v>
      </c>
      <c r="G21" s="44">
        <f t="shared" si="5"/>
        <v>0</v>
      </c>
      <c r="H21" s="44">
        <f t="shared" si="5"/>
        <v>0</v>
      </c>
      <c r="I21" s="44">
        <f t="shared" si="5"/>
        <v>0</v>
      </c>
      <c r="J21" s="44">
        <f t="shared" si="5"/>
        <v>0</v>
      </c>
      <c r="K21" s="44">
        <f t="shared" si="5"/>
        <v>0</v>
      </c>
      <c r="L21" s="44">
        <f t="shared" si="5"/>
        <v>0</v>
      </c>
      <c r="M21" s="44">
        <f t="shared" si="5"/>
        <v>0</v>
      </c>
      <c r="N21" s="44">
        <f t="shared" si="5"/>
        <v>0</v>
      </c>
      <c r="O21" s="44">
        <f t="shared" si="5"/>
        <v>0</v>
      </c>
      <c r="P21" s="44">
        <f t="shared" si="5"/>
        <v>0</v>
      </c>
      <c r="Q21" s="44">
        <f t="shared" si="5"/>
        <v>0</v>
      </c>
      <c r="R21" s="44">
        <f t="shared" si="5"/>
        <v>0</v>
      </c>
      <c r="S21" s="44">
        <f t="shared" si="5"/>
        <v>-0.90700000000000003</v>
      </c>
      <c r="T21" s="44">
        <f t="shared" si="5"/>
        <v>0</v>
      </c>
      <c r="U21" s="44">
        <f t="shared" si="6"/>
        <v>0</v>
      </c>
      <c r="V21" s="44">
        <f t="shared" si="6"/>
        <v>0</v>
      </c>
      <c r="W21" s="44">
        <f t="shared" si="6"/>
        <v>-32.1</v>
      </c>
    </row>
    <row r="22" spans="1:27" x14ac:dyDescent="0.25">
      <c r="A22" s="40" t="s">
        <v>178</v>
      </c>
      <c r="B22" s="47">
        <f>(40.8-32.146)*0</f>
        <v>0</v>
      </c>
      <c r="C22" s="40" t="s">
        <v>30</v>
      </c>
      <c r="D22" s="44">
        <f>D25+D27</f>
        <v>0</v>
      </c>
      <c r="E22" s="44">
        <f t="shared" ref="E22:W22" si="8">E25+E27</f>
        <v>0</v>
      </c>
      <c r="F22" s="44">
        <f t="shared" si="8"/>
        <v>718.2</v>
      </c>
      <c r="G22" s="44">
        <f t="shared" si="8"/>
        <v>782</v>
      </c>
      <c r="H22" s="44">
        <f t="shared" si="8"/>
        <v>785.4</v>
      </c>
      <c r="I22" s="44">
        <f t="shared" si="8"/>
        <v>2939</v>
      </c>
      <c r="J22" s="44">
        <f t="shared" si="8"/>
        <v>2939</v>
      </c>
      <c r="K22" s="44">
        <f t="shared" si="8"/>
        <v>2939</v>
      </c>
      <c r="L22" s="44">
        <f t="shared" si="8"/>
        <v>2939</v>
      </c>
      <c r="M22" s="44">
        <f t="shared" si="8"/>
        <v>2939</v>
      </c>
      <c r="N22" s="44">
        <f t="shared" si="8"/>
        <v>3298.4</v>
      </c>
      <c r="O22" s="44">
        <f t="shared" si="8"/>
        <v>3798.4</v>
      </c>
      <c r="P22" s="44">
        <f t="shared" si="8"/>
        <v>3798.4</v>
      </c>
      <c r="Q22" s="44">
        <f t="shared" si="8"/>
        <v>3798.4</v>
      </c>
      <c r="R22" s="44">
        <f t="shared" si="8"/>
        <v>4273.3999999999996</v>
      </c>
      <c r="S22" s="44">
        <f t="shared" si="8"/>
        <v>4273.3999999999996</v>
      </c>
      <c r="T22" s="44">
        <f t="shared" si="8"/>
        <v>4273.3999999999996</v>
      </c>
      <c r="U22" s="44">
        <f t="shared" si="8"/>
        <v>4692.8</v>
      </c>
      <c r="V22" s="44">
        <f t="shared" si="8"/>
        <v>5601.8</v>
      </c>
      <c r="W22" s="44">
        <f t="shared" si="8"/>
        <v>6303.6</v>
      </c>
    </row>
    <row r="23" spans="1:27" ht="15.75" x14ac:dyDescent="0.25">
      <c r="A23" s="40" t="s">
        <v>177</v>
      </c>
      <c r="B23" s="47">
        <v>120</v>
      </c>
      <c r="C23" s="43" t="s">
        <v>70</v>
      </c>
      <c r="D23" s="2">
        <v>2019</v>
      </c>
      <c r="E23" s="3">
        <v>2020</v>
      </c>
      <c r="F23" s="3">
        <v>2021</v>
      </c>
      <c r="G23" s="3">
        <v>2022</v>
      </c>
      <c r="H23" s="3">
        <v>2023</v>
      </c>
      <c r="I23" s="3">
        <v>2024</v>
      </c>
      <c r="J23" s="3">
        <v>2025</v>
      </c>
      <c r="K23" s="3">
        <v>2026</v>
      </c>
      <c r="L23" s="3">
        <v>2027</v>
      </c>
      <c r="M23" s="3">
        <v>2028</v>
      </c>
      <c r="N23" s="3">
        <v>2029</v>
      </c>
      <c r="O23" s="3">
        <v>2030</v>
      </c>
      <c r="P23" s="3">
        <v>2031</v>
      </c>
      <c r="Q23" s="3">
        <v>2032</v>
      </c>
      <c r="R23" s="3">
        <v>2033</v>
      </c>
      <c r="S23" s="3">
        <v>2034</v>
      </c>
      <c r="T23" s="3">
        <v>2035</v>
      </c>
      <c r="U23" s="3">
        <v>2036</v>
      </c>
      <c r="V23" s="3">
        <v>2037</v>
      </c>
      <c r="W23" s="3">
        <v>2038</v>
      </c>
      <c r="Y23" s="47" t="s">
        <v>59</v>
      </c>
      <c r="Z23" s="47" t="s">
        <v>60</v>
      </c>
      <c r="AA23" s="47" t="s">
        <v>72</v>
      </c>
    </row>
    <row r="24" spans="1:27" x14ac:dyDescent="0.25">
      <c r="A24" s="40" t="s">
        <v>175</v>
      </c>
      <c r="B24" s="44">
        <v>1150</v>
      </c>
      <c r="C24" s="40" t="s">
        <v>59</v>
      </c>
      <c r="D24" s="44">
        <f>D12+B22+B21</f>
        <v>23.4</v>
      </c>
      <c r="E24" s="44">
        <f>D24+E12</f>
        <v>23.4</v>
      </c>
      <c r="F24" s="44">
        <f>E24+F12+B24+B23+B20</f>
        <v>1533.4</v>
      </c>
      <c r="G24" s="44">
        <f t="shared" ref="G24:W24" si="9">F24+G12</f>
        <v>1533.4</v>
      </c>
      <c r="H24" s="44">
        <f t="shared" si="9"/>
        <v>1602.6000000000001</v>
      </c>
      <c r="I24" s="44">
        <f t="shared" si="9"/>
        <v>3522.6000000000004</v>
      </c>
      <c r="J24" s="44">
        <f t="shared" si="9"/>
        <v>3522.6000000000004</v>
      </c>
      <c r="K24" s="44">
        <f t="shared" si="9"/>
        <v>3522.6000000000004</v>
      </c>
      <c r="L24" s="44">
        <f t="shared" si="9"/>
        <v>3522.6000000000004</v>
      </c>
      <c r="M24" s="44">
        <f t="shared" si="9"/>
        <v>3522.6000000000004</v>
      </c>
      <c r="N24" s="44">
        <f t="shared" si="9"/>
        <v>3522.6000000000004</v>
      </c>
      <c r="O24" s="44">
        <f t="shared" si="9"/>
        <v>4562.2000000000007</v>
      </c>
      <c r="P24" s="44">
        <f t="shared" si="9"/>
        <v>4562.2000000000007</v>
      </c>
      <c r="Q24" s="44">
        <f t="shared" si="9"/>
        <v>4562.2000000000007</v>
      </c>
      <c r="R24" s="44">
        <f t="shared" si="9"/>
        <v>4562.2000000000007</v>
      </c>
      <c r="S24" s="44">
        <f t="shared" si="9"/>
        <v>4562.2000000000007</v>
      </c>
      <c r="T24" s="44">
        <f t="shared" si="9"/>
        <v>4562.2000000000007</v>
      </c>
      <c r="U24" s="44">
        <f t="shared" si="9"/>
        <v>4562.2000000000007</v>
      </c>
      <c r="V24" s="44">
        <f t="shared" si="9"/>
        <v>4562.2000000000007</v>
      </c>
      <c r="W24" s="44">
        <f t="shared" si="9"/>
        <v>4562.2000000000007</v>
      </c>
      <c r="Y24" s="44">
        <f>W24+SUM(D19:W19)+W26</f>
        <v>3318.3500000000008</v>
      </c>
      <c r="Z24" s="44">
        <f>W25+SUM(D20:W20)+W27</f>
        <v>4904.58</v>
      </c>
      <c r="AA24" s="44">
        <f>0.25*W26+0.25*W27+W28</f>
        <v>2821.3500000000004</v>
      </c>
    </row>
    <row r="25" spans="1:27" x14ac:dyDescent="0.25">
      <c r="A25" s="40" t="s">
        <v>176</v>
      </c>
      <c r="B25" s="47">
        <f>437+122</f>
        <v>559</v>
      </c>
      <c r="C25" s="40" t="s">
        <v>60</v>
      </c>
      <c r="D25" s="44">
        <f t="shared" ref="D25:D29" si="10">D13</f>
        <v>0</v>
      </c>
      <c r="E25" s="44">
        <f t="shared" ref="E25:W25" si="11">D25+E13</f>
        <v>0</v>
      </c>
      <c r="F25" s="44">
        <f>E25+F13+B25</f>
        <v>559</v>
      </c>
      <c r="G25" s="44">
        <f t="shared" si="11"/>
        <v>559</v>
      </c>
      <c r="H25" s="44">
        <f t="shared" si="11"/>
        <v>559</v>
      </c>
      <c r="I25" s="44">
        <f t="shared" si="11"/>
        <v>559</v>
      </c>
      <c r="J25" s="44">
        <f t="shared" si="11"/>
        <v>559</v>
      </c>
      <c r="K25" s="44">
        <f t="shared" si="11"/>
        <v>559</v>
      </c>
      <c r="L25" s="44">
        <f t="shared" si="11"/>
        <v>559</v>
      </c>
      <c r="M25" s="44">
        <f t="shared" si="11"/>
        <v>559</v>
      </c>
      <c r="N25" s="44">
        <f t="shared" si="11"/>
        <v>559</v>
      </c>
      <c r="O25" s="44">
        <f t="shared" si="11"/>
        <v>559</v>
      </c>
      <c r="P25" s="44">
        <f t="shared" si="11"/>
        <v>559</v>
      </c>
      <c r="Q25" s="44">
        <f t="shared" si="11"/>
        <v>559</v>
      </c>
      <c r="R25" s="44">
        <f t="shared" si="11"/>
        <v>559</v>
      </c>
      <c r="S25" s="44">
        <f t="shared" si="11"/>
        <v>559</v>
      </c>
      <c r="T25" s="44">
        <f t="shared" si="11"/>
        <v>559</v>
      </c>
      <c r="U25" s="44">
        <f t="shared" si="11"/>
        <v>559</v>
      </c>
      <c r="V25" s="44">
        <f t="shared" si="11"/>
        <v>559</v>
      </c>
      <c r="W25" s="44">
        <f t="shared" si="11"/>
        <v>559</v>
      </c>
    </row>
    <row r="26" spans="1:27" x14ac:dyDescent="0.25">
      <c r="C26" s="40" t="s">
        <v>68</v>
      </c>
      <c r="D26" s="44">
        <f t="shared" si="10"/>
        <v>0</v>
      </c>
      <c r="E26" s="44">
        <f t="shared" ref="E26:W26" si="12">D26+E14</f>
        <v>0</v>
      </c>
      <c r="F26" s="44">
        <f t="shared" si="12"/>
        <v>0</v>
      </c>
      <c r="G26" s="44">
        <f t="shared" si="12"/>
        <v>0</v>
      </c>
      <c r="H26" s="44">
        <f t="shared" si="12"/>
        <v>0</v>
      </c>
      <c r="I26" s="44">
        <f t="shared" si="12"/>
        <v>0</v>
      </c>
      <c r="J26" s="44">
        <f t="shared" si="12"/>
        <v>0</v>
      </c>
      <c r="K26" s="44">
        <f t="shared" si="12"/>
        <v>0</v>
      </c>
      <c r="L26" s="44">
        <f t="shared" si="12"/>
        <v>0</v>
      </c>
      <c r="M26" s="44">
        <f t="shared" si="12"/>
        <v>0</v>
      </c>
      <c r="N26" s="44">
        <f t="shared" si="12"/>
        <v>9.8000000000000007</v>
      </c>
      <c r="O26" s="44">
        <f t="shared" si="12"/>
        <v>9.8000000000000007</v>
      </c>
      <c r="P26" s="44">
        <f t="shared" si="12"/>
        <v>9.8000000000000007</v>
      </c>
      <c r="Q26" s="44">
        <f t="shared" si="12"/>
        <v>70.2</v>
      </c>
      <c r="R26" s="44">
        <f t="shared" si="12"/>
        <v>70.2</v>
      </c>
      <c r="S26" s="44">
        <f t="shared" si="12"/>
        <v>70.2</v>
      </c>
      <c r="T26" s="44">
        <f t="shared" si="12"/>
        <v>70.2</v>
      </c>
      <c r="U26" s="44">
        <f t="shared" si="12"/>
        <v>70.2</v>
      </c>
      <c r="V26" s="44">
        <f t="shared" si="12"/>
        <v>80.8</v>
      </c>
      <c r="W26" s="44">
        <f t="shared" si="12"/>
        <v>80.8</v>
      </c>
    </row>
    <row r="27" spans="1:27" x14ac:dyDescent="0.25">
      <c r="B27" s="40">
        <f>B23+200</f>
        <v>320</v>
      </c>
      <c r="C27" s="40" t="s">
        <v>65</v>
      </c>
      <c r="D27" s="44">
        <f t="shared" si="10"/>
        <v>0</v>
      </c>
      <c r="E27" s="44">
        <f>D27+E15</f>
        <v>0</v>
      </c>
      <c r="F27" s="44">
        <f>E27+F15</f>
        <v>159.19999999999999</v>
      </c>
      <c r="G27" s="44">
        <f t="shared" ref="G27:W27" si="13">F27+G15</f>
        <v>223</v>
      </c>
      <c r="H27" s="44">
        <f t="shared" si="13"/>
        <v>226.4</v>
      </c>
      <c r="I27" s="44">
        <f t="shared" si="13"/>
        <v>2380</v>
      </c>
      <c r="J27" s="44">
        <f t="shared" si="13"/>
        <v>2380</v>
      </c>
      <c r="K27" s="44">
        <f t="shared" si="13"/>
        <v>2380</v>
      </c>
      <c r="L27" s="44">
        <f t="shared" si="13"/>
        <v>2380</v>
      </c>
      <c r="M27" s="44">
        <f t="shared" si="13"/>
        <v>2380</v>
      </c>
      <c r="N27" s="44">
        <f t="shared" si="13"/>
        <v>2739.4</v>
      </c>
      <c r="O27" s="44">
        <f t="shared" si="13"/>
        <v>3239.4</v>
      </c>
      <c r="P27" s="44">
        <f t="shared" si="13"/>
        <v>3239.4</v>
      </c>
      <c r="Q27" s="44">
        <f t="shared" si="13"/>
        <v>3239.4</v>
      </c>
      <c r="R27" s="44">
        <f t="shared" si="13"/>
        <v>3714.4</v>
      </c>
      <c r="S27" s="44">
        <f t="shared" si="13"/>
        <v>3714.4</v>
      </c>
      <c r="T27" s="44">
        <f t="shared" si="13"/>
        <v>3714.4</v>
      </c>
      <c r="U27" s="44">
        <f t="shared" si="13"/>
        <v>4133.8</v>
      </c>
      <c r="V27" s="44">
        <f t="shared" si="13"/>
        <v>5042.8</v>
      </c>
      <c r="W27" s="44">
        <f t="shared" si="13"/>
        <v>5744.6</v>
      </c>
    </row>
    <row r="28" spans="1:27" x14ac:dyDescent="0.25">
      <c r="B28" s="40">
        <f>B27/1533</f>
        <v>0.20874103065883887</v>
      </c>
      <c r="C28" s="40" t="s">
        <v>72</v>
      </c>
      <c r="D28" s="44">
        <f t="shared" si="10"/>
        <v>0</v>
      </c>
      <c r="E28" s="44">
        <f t="shared" ref="E28:W28" si="14">D28+E16</f>
        <v>0</v>
      </c>
      <c r="F28" s="44">
        <f t="shared" si="14"/>
        <v>0</v>
      </c>
      <c r="G28" s="44">
        <f t="shared" si="14"/>
        <v>0</v>
      </c>
      <c r="H28" s="44">
        <f t="shared" si="14"/>
        <v>0</v>
      </c>
      <c r="I28" s="44">
        <f t="shared" si="14"/>
        <v>0</v>
      </c>
      <c r="J28" s="44">
        <f t="shared" si="14"/>
        <v>0</v>
      </c>
      <c r="K28" s="44">
        <f t="shared" si="14"/>
        <v>0</v>
      </c>
      <c r="L28" s="44">
        <f t="shared" si="14"/>
        <v>0</v>
      </c>
      <c r="M28" s="44">
        <f t="shared" si="14"/>
        <v>180</v>
      </c>
      <c r="N28" s="44">
        <f t="shared" si="14"/>
        <v>615</v>
      </c>
      <c r="O28" s="44">
        <f t="shared" si="14"/>
        <v>615</v>
      </c>
      <c r="P28" s="44">
        <f t="shared" si="14"/>
        <v>645</v>
      </c>
      <c r="Q28" s="44">
        <f t="shared" si="14"/>
        <v>765</v>
      </c>
      <c r="R28" s="44">
        <f t="shared" si="14"/>
        <v>765</v>
      </c>
      <c r="S28" s="44">
        <f t="shared" si="14"/>
        <v>765</v>
      </c>
      <c r="T28" s="44">
        <f t="shared" si="14"/>
        <v>765</v>
      </c>
      <c r="U28" s="44">
        <f t="shared" si="14"/>
        <v>765</v>
      </c>
      <c r="V28" s="44">
        <f t="shared" si="14"/>
        <v>765</v>
      </c>
      <c r="W28" s="44">
        <f t="shared" si="14"/>
        <v>1365</v>
      </c>
      <c r="X28" s="41">
        <f>W31-W28</f>
        <v>1456.35</v>
      </c>
    </row>
    <row r="29" spans="1:27" x14ac:dyDescent="0.25">
      <c r="C29" s="40" t="s">
        <v>93</v>
      </c>
      <c r="D29" s="44">
        <f t="shared" si="10"/>
        <v>0</v>
      </c>
      <c r="E29" s="44">
        <f t="shared" ref="E29:W29" si="15">D29+E17</f>
        <v>0</v>
      </c>
      <c r="F29" s="44">
        <f t="shared" si="15"/>
        <v>0</v>
      </c>
      <c r="G29" s="44">
        <f t="shared" si="15"/>
        <v>0</v>
      </c>
      <c r="H29" s="44">
        <f t="shared" si="15"/>
        <v>0</v>
      </c>
      <c r="I29" s="44">
        <f t="shared" si="15"/>
        <v>0</v>
      </c>
      <c r="J29" s="44">
        <f t="shared" si="15"/>
        <v>0</v>
      </c>
      <c r="K29" s="44">
        <f t="shared" si="15"/>
        <v>0</v>
      </c>
      <c r="L29" s="44">
        <f t="shared" si="15"/>
        <v>0</v>
      </c>
      <c r="M29" s="44">
        <f t="shared" si="15"/>
        <v>0</v>
      </c>
      <c r="N29" s="44">
        <f t="shared" si="15"/>
        <v>0</v>
      </c>
      <c r="O29" s="44">
        <f t="shared" si="15"/>
        <v>0</v>
      </c>
      <c r="P29" s="44">
        <f t="shared" si="15"/>
        <v>0</v>
      </c>
      <c r="Q29" s="44">
        <f t="shared" si="15"/>
        <v>0</v>
      </c>
      <c r="R29" s="44">
        <f t="shared" si="15"/>
        <v>0</v>
      </c>
      <c r="S29" s="44">
        <f t="shared" si="15"/>
        <v>0</v>
      </c>
      <c r="T29" s="44">
        <f t="shared" si="15"/>
        <v>0</v>
      </c>
      <c r="U29" s="44">
        <f t="shared" si="15"/>
        <v>0</v>
      </c>
      <c r="V29" s="44">
        <f t="shared" si="15"/>
        <v>0</v>
      </c>
      <c r="W29" s="44">
        <f t="shared" si="15"/>
        <v>0</v>
      </c>
    </row>
    <row r="30" spans="1:27" x14ac:dyDescent="0.25">
      <c r="C30" s="40" t="s">
        <v>82</v>
      </c>
      <c r="D30" s="44">
        <f>D19+D20+D18+D21</f>
        <v>0</v>
      </c>
      <c r="E30" s="44">
        <f>E19+E20+E18+E21+D30</f>
        <v>-27.650000000000002</v>
      </c>
      <c r="F30" s="44">
        <f t="shared" ref="F30:W30" si="16">F19+F20+F18+F21+E30</f>
        <v>-213.35000000000005</v>
      </c>
      <c r="G30" s="44">
        <f t="shared" si="16"/>
        <v>-437.35</v>
      </c>
      <c r="H30" s="44">
        <f t="shared" si="16"/>
        <v>-438.75</v>
      </c>
      <c r="I30" s="44">
        <f t="shared" si="16"/>
        <v>-500.55</v>
      </c>
      <c r="J30" s="44">
        <f t="shared" si="16"/>
        <v>-500.55</v>
      </c>
      <c r="K30" s="44">
        <f t="shared" si="16"/>
        <v>-566.45000000000005</v>
      </c>
      <c r="L30" s="44">
        <f t="shared" si="16"/>
        <v>-569.45000000000005</v>
      </c>
      <c r="M30" s="44">
        <f t="shared" si="16"/>
        <v>-578.65000000000009</v>
      </c>
      <c r="N30" s="44">
        <f t="shared" si="16"/>
        <v>-672.05000000000007</v>
      </c>
      <c r="O30" s="44">
        <f t="shared" si="16"/>
        <v>-821.15000000000009</v>
      </c>
      <c r="P30" s="44">
        <f t="shared" si="16"/>
        <v>-1094.75</v>
      </c>
      <c r="Q30" s="44">
        <f t="shared" si="16"/>
        <v>-1208.6500000000001</v>
      </c>
      <c r="R30" s="44">
        <f t="shared" si="16"/>
        <v>-1409.5500000000002</v>
      </c>
      <c r="S30" s="44">
        <f t="shared" si="16"/>
        <v>-1565.3570000000002</v>
      </c>
      <c r="T30" s="44">
        <f t="shared" si="16"/>
        <v>-1601.2570000000003</v>
      </c>
      <c r="U30" s="44">
        <f t="shared" si="16"/>
        <v>-1881.5570000000002</v>
      </c>
      <c r="V30" s="44">
        <f t="shared" si="16"/>
        <v>-2995.7570000000005</v>
      </c>
      <c r="W30" s="44">
        <f t="shared" si="16"/>
        <v>-3038.7570000000005</v>
      </c>
    </row>
    <row r="31" spans="1:27" x14ac:dyDescent="0.25">
      <c r="C31" s="40" t="s">
        <v>120</v>
      </c>
      <c r="D31" s="44">
        <f t="shared" ref="D31" si="17">0.25*D27+D28+0.25*D26</f>
        <v>0</v>
      </c>
      <c r="E31" s="44">
        <f>0.25*E27+E28+0.25*E26</f>
        <v>0</v>
      </c>
      <c r="F31" s="44">
        <f t="shared" ref="F31:W31" si="18">0.25*F27+F28+0.25*F26</f>
        <v>39.799999999999997</v>
      </c>
      <c r="G31" s="44">
        <f t="shared" si="18"/>
        <v>55.75</v>
      </c>
      <c r="H31" s="44">
        <f t="shared" si="18"/>
        <v>56.6</v>
      </c>
      <c r="I31" s="44">
        <f t="shared" si="18"/>
        <v>595</v>
      </c>
      <c r="J31" s="44">
        <f t="shared" si="18"/>
        <v>595</v>
      </c>
      <c r="K31" s="44">
        <f t="shared" si="18"/>
        <v>595</v>
      </c>
      <c r="L31" s="44">
        <f t="shared" si="18"/>
        <v>595</v>
      </c>
      <c r="M31" s="44">
        <f t="shared" si="18"/>
        <v>775</v>
      </c>
      <c r="N31" s="44">
        <f t="shared" si="18"/>
        <v>1302.3</v>
      </c>
      <c r="O31" s="44">
        <f t="shared" si="18"/>
        <v>1427.3</v>
      </c>
      <c r="P31" s="44">
        <f t="shared" si="18"/>
        <v>1457.3</v>
      </c>
      <c r="Q31" s="44">
        <f t="shared" si="18"/>
        <v>1592.3999999999999</v>
      </c>
      <c r="R31" s="44">
        <f t="shared" si="18"/>
        <v>1711.1499999999999</v>
      </c>
      <c r="S31" s="44">
        <f t="shared" si="18"/>
        <v>1711.1499999999999</v>
      </c>
      <c r="T31" s="44">
        <f t="shared" si="18"/>
        <v>1711.1499999999999</v>
      </c>
      <c r="U31" s="44">
        <f t="shared" si="18"/>
        <v>1816</v>
      </c>
      <c r="V31" s="44">
        <f t="shared" si="18"/>
        <v>2045.9</v>
      </c>
      <c r="W31" s="44">
        <f t="shared" si="18"/>
        <v>2821.35</v>
      </c>
    </row>
    <row r="32" spans="1:27" ht="27" x14ac:dyDescent="0.35">
      <c r="C32" s="42" t="s">
        <v>61</v>
      </c>
    </row>
    <row r="33" spans="3:23" ht="15.75" x14ac:dyDescent="0.25">
      <c r="C33" s="43" t="s">
        <v>69</v>
      </c>
      <c r="D33" s="2">
        <v>2019</v>
      </c>
      <c r="E33" s="3">
        <v>2020</v>
      </c>
      <c r="F33" s="3">
        <v>2021</v>
      </c>
      <c r="G33" s="3">
        <v>2022</v>
      </c>
      <c r="H33" s="3">
        <v>2023</v>
      </c>
      <c r="I33" s="3">
        <v>2024</v>
      </c>
      <c r="J33" s="3">
        <v>2025</v>
      </c>
      <c r="K33" s="3">
        <v>2026</v>
      </c>
      <c r="L33" s="3">
        <v>2027</v>
      </c>
      <c r="M33" s="3">
        <v>2028</v>
      </c>
      <c r="N33" s="3">
        <v>2029</v>
      </c>
      <c r="O33" s="3">
        <v>2030</v>
      </c>
      <c r="P33" s="3">
        <v>2031</v>
      </c>
      <c r="Q33" s="3">
        <v>2032</v>
      </c>
      <c r="R33" s="3">
        <v>2033</v>
      </c>
      <c r="S33" s="3">
        <v>2034</v>
      </c>
      <c r="T33" s="3">
        <v>2035</v>
      </c>
      <c r="U33" s="3">
        <v>2036</v>
      </c>
      <c r="V33" s="3">
        <v>2037</v>
      </c>
      <c r="W33" s="3">
        <v>2038</v>
      </c>
    </row>
    <row r="34" spans="3:23" x14ac:dyDescent="0.25">
      <c r="C34" s="40" t="s">
        <v>62</v>
      </c>
      <c r="D34" s="44">
        <f>SUMIF($A$69:$A$500,$C34,D$69:D$500)</f>
        <v>0</v>
      </c>
      <c r="E34" s="44">
        <f t="shared" ref="E34:T37" si="19">SUMIF($A$69:$A$500,$C34,E$69:E$500)</f>
        <v>0</v>
      </c>
      <c r="F34" s="44">
        <f t="shared" si="19"/>
        <v>0</v>
      </c>
      <c r="G34" s="44">
        <f t="shared" si="19"/>
        <v>0</v>
      </c>
      <c r="H34" s="44">
        <f t="shared" si="19"/>
        <v>0</v>
      </c>
      <c r="I34" s="44">
        <f t="shared" si="19"/>
        <v>0</v>
      </c>
      <c r="J34" s="44">
        <f t="shared" si="19"/>
        <v>0</v>
      </c>
      <c r="K34" s="44">
        <f t="shared" si="19"/>
        <v>184.9</v>
      </c>
      <c r="L34" s="44">
        <f t="shared" si="19"/>
        <v>0</v>
      </c>
      <c r="M34" s="44">
        <f t="shared" si="19"/>
        <v>0</v>
      </c>
      <c r="N34" s="44">
        <f t="shared" si="19"/>
        <v>0</v>
      </c>
      <c r="O34" s="44">
        <f t="shared" si="19"/>
        <v>369.8</v>
      </c>
      <c r="P34" s="44">
        <f t="shared" si="19"/>
        <v>0</v>
      </c>
      <c r="Q34" s="44">
        <f t="shared" si="19"/>
        <v>0</v>
      </c>
      <c r="R34" s="44">
        <f t="shared" si="19"/>
        <v>0</v>
      </c>
      <c r="S34" s="44">
        <f t="shared" si="19"/>
        <v>0</v>
      </c>
      <c r="T34" s="44">
        <f t="shared" si="19"/>
        <v>0</v>
      </c>
      <c r="U34" s="44">
        <f t="shared" ref="U34:W37" si="20">SUMIF($A$69:$A$500,$C34,U$69:U$500)</f>
        <v>0</v>
      </c>
      <c r="V34" s="44">
        <f t="shared" si="20"/>
        <v>812.6</v>
      </c>
      <c r="W34" s="44">
        <f t="shared" si="20"/>
        <v>0</v>
      </c>
    </row>
    <row r="35" spans="3:23" x14ac:dyDescent="0.25">
      <c r="C35" s="40" t="s">
        <v>67</v>
      </c>
      <c r="D35" s="44">
        <f t="shared" ref="D35:D37" si="21">SUMIF($A$69:$A$500,$C35,D$69:D$500)</f>
        <v>0</v>
      </c>
      <c r="E35" s="44">
        <f t="shared" si="19"/>
        <v>0</v>
      </c>
      <c r="F35" s="44">
        <f t="shared" si="19"/>
        <v>0</v>
      </c>
      <c r="G35" s="44">
        <f t="shared" si="19"/>
        <v>0</v>
      </c>
      <c r="H35" s="44">
        <f t="shared" si="19"/>
        <v>0</v>
      </c>
      <c r="I35" s="44">
        <f t="shared" si="19"/>
        <v>0</v>
      </c>
      <c r="J35" s="44">
        <f t="shared" si="19"/>
        <v>0</v>
      </c>
      <c r="K35" s="44">
        <f t="shared" si="19"/>
        <v>0</v>
      </c>
      <c r="L35" s="44">
        <f t="shared" si="19"/>
        <v>0</v>
      </c>
      <c r="M35" s="44">
        <f t="shared" si="19"/>
        <v>0</v>
      </c>
      <c r="N35" s="44">
        <f t="shared" si="19"/>
        <v>0</v>
      </c>
      <c r="O35" s="44">
        <f t="shared" si="19"/>
        <v>0</v>
      </c>
      <c r="P35" s="44">
        <f t="shared" si="19"/>
        <v>0</v>
      </c>
      <c r="Q35" s="44">
        <f t="shared" si="19"/>
        <v>0</v>
      </c>
      <c r="R35" s="44">
        <f t="shared" si="19"/>
        <v>0</v>
      </c>
      <c r="S35" s="44">
        <f t="shared" si="19"/>
        <v>0</v>
      </c>
      <c r="T35" s="44">
        <f t="shared" si="19"/>
        <v>0</v>
      </c>
      <c r="U35" s="44">
        <f t="shared" si="20"/>
        <v>0</v>
      </c>
      <c r="V35" s="44">
        <f t="shared" si="20"/>
        <v>505.2</v>
      </c>
      <c r="W35" s="44">
        <f t="shared" si="20"/>
        <v>0</v>
      </c>
    </row>
    <row r="36" spans="3:23" x14ac:dyDescent="0.25">
      <c r="C36" s="40" t="s">
        <v>86</v>
      </c>
      <c r="D36" s="44">
        <f t="shared" si="21"/>
        <v>0</v>
      </c>
      <c r="E36" s="44">
        <f t="shared" si="19"/>
        <v>247</v>
      </c>
      <c r="F36" s="44">
        <f t="shared" si="19"/>
        <v>0</v>
      </c>
      <c r="G36" s="44">
        <f t="shared" si="19"/>
        <v>0</v>
      </c>
      <c r="H36" s="44">
        <f t="shared" si="19"/>
        <v>0</v>
      </c>
      <c r="I36" s="44">
        <f t="shared" si="19"/>
        <v>0</v>
      </c>
      <c r="J36" s="44">
        <f t="shared" si="19"/>
        <v>0</v>
      </c>
      <c r="K36" s="44">
        <f t="shared" si="19"/>
        <v>0</v>
      </c>
      <c r="L36" s="44">
        <f t="shared" si="19"/>
        <v>0</v>
      </c>
      <c r="M36" s="44">
        <f t="shared" si="19"/>
        <v>0</v>
      </c>
      <c r="N36" s="44">
        <f t="shared" si="19"/>
        <v>0</v>
      </c>
      <c r="O36" s="44">
        <f t="shared" si="19"/>
        <v>-247</v>
      </c>
      <c r="P36" s="44">
        <f t="shared" si="19"/>
        <v>0</v>
      </c>
      <c r="Q36" s="44">
        <f t="shared" si="19"/>
        <v>0</v>
      </c>
      <c r="R36" s="44">
        <f t="shared" si="19"/>
        <v>0</v>
      </c>
      <c r="S36" s="44">
        <f t="shared" si="19"/>
        <v>0</v>
      </c>
      <c r="T36" s="44">
        <f t="shared" si="19"/>
        <v>0</v>
      </c>
      <c r="U36" s="44">
        <f t="shared" si="20"/>
        <v>0</v>
      </c>
      <c r="V36" s="44">
        <f t="shared" si="20"/>
        <v>0</v>
      </c>
      <c r="W36" s="44">
        <f t="shared" si="20"/>
        <v>0</v>
      </c>
    </row>
    <row r="37" spans="3:23" x14ac:dyDescent="0.25">
      <c r="C37" s="40" t="s">
        <v>74</v>
      </c>
      <c r="D37" s="44">
        <f t="shared" si="21"/>
        <v>0</v>
      </c>
      <c r="E37" s="44">
        <f t="shared" si="19"/>
        <v>0</v>
      </c>
      <c r="F37" s="44">
        <f t="shared" si="19"/>
        <v>0</v>
      </c>
      <c r="G37" s="44">
        <f t="shared" si="19"/>
        <v>0</v>
      </c>
      <c r="H37" s="44">
        <f t="shared" si="19"/>
        <v>0</v>
      </c>
      <c r="I37" s="44">
        <f t="shared" si="19"/>
        <v>0</v>
      </c>
      <c r="J37" s="44">
        <f t="shared" si="19"/>
        <v>0</v>
      </c>
      <c r="K37" s="44">
        <f t="shared" si="19"/>
        <v>0</v>
      </c>
      <c r="L37" s="44">
        <f t="shared" si="19"/>
        <v>0</v>
      </c>
      <c r="M37" s="44">
        <f t="shared" si="19"/>
        <v>0</v>
      </c>
      <c r="N37" s="44">
        <f t="shared" si="19"/>
        <v>0</v>
      </c>
      <c r="O37" s="44">
        <f t="shared" si="19"/>
        <v>0</v>
      </c>
      <c r="P37" s="44">
        <f t="shared" si="19"/>
        <v>0</v>
      </c>
      <c r="Q37" s="44">
        <f t="shared" si="19"/>
        <v>0</v>
      </c>
      <c r="R37" s="44">
        <f t="shared" si="19"/>
        <v>-356.30000000000007</v>
      </c>
      <c r="S37" s="44">
        <f t="shared" si="19"/>
        <v>0</v>
      </c>
      <c r="T37" s="44">
        <f t="shared" si="19"/>
        <v>0</v>
      </c>
      <c r="U37" s="44">
        <f t="shared" si="20"/>
        <v>0</v>
      </c>
      <c r="V37" s="44">
        <f t="shared" si="20"/>
        <v>-237</v>
      </c>
      <c r="W37" s="44">
        <f t="shared" si="20"/>
        <v>0</v>
      </c>
    </row>
    <row r="39" spans="3:23" ht="15.75" x14ac:dyDescent="0.25">
      <c r="C39" s="43" t="s">
        <v>70</v>
      </c>
      <c r="D39" s="2">
        <v>2019</v>
      </c>
      <c r="E39" s="3">
        <v>2020</v>
      </c>
      <c r="F39" s="3">
        <v>2021</v>
      </c>
      <c r="G39" s="3">
        <v>2022</v>
      </c>
      <c r="H39" s="3">
        <v>2023</v>
      </c>
      <c r="I39" s="3">
        <v>2024</v>
      </c>
      <c r="J39" s="3">
        <v>2025</v>
      </c>
      <c r="K39" s="3">
        <v>2026</v>
      </c>
      <c r="L39" s="3">
        <v>2027</v>
      </c>
      <c r="M39" s="3">
        <v>2028</v>
      </c>
      <c r="N39" s="3">
        <v>2029</v>
      </c>
      <c r="O39" s="3">
        <v>2030</v>
      </c>
      <c r="P39" s="3">
        <v>2031</v>
      </c>
      <c r="Q39" s="3">
        <v>2032</v>
      </c>
      <c r="R39" s="3">
        <v>2033</v>
      </c>
      <c r="S39" s="3">
        <v>2034</v>
      </c>
      <c r="T39" s="3">
        <v>2035</v>
      </c>
      <c r="U39" s="3">
        <v>2036</v>
      </c>
      <c r="V39" s="3">
        <v>2037</v>
      </c>
      <c r="W39" s="3">
        <v>2038</v>
      </c>
    </row>
    <row r="40" spans="3:23" x14ac:dyDescent="0.25">
      <c r="C40" s="40" t="s">
        <v>62</v>
      </c>
      <c r="D40" s="44">
        <f>D34</f>
        <v>0</v>
      </c>
      <c r="E40" s="44">
        <f>D40+E34</f>
        <v>0</v>
      </c>
      <c r="F40" s="44">
        <f t="shared" ref="F40:W40" si="22">E40+F34</f>
        <v>0</v>
      </c>
      <c r="G40" s="44">
        <f t="shared" si="22"/>
        <v>0</v>
      </c>
      <c r="H40" s="44">
        <f t="shared" si="22"/>
        <v>0</v>
      </c>
      <c r="I40" s="44">
        <f t="shared" si="22"/>
        <v>0</v>
      </c>
      <c r="J40" s="44">
        <f t="shared" si="22"/>
        <v>0</v>
      </c>
      <c r="K40" s="44">
        <f t="shared" si="22"/>
        <v>184.9</v>
      </c>
      <c r="L40" s="44">
        <f t="shared" si="22"/>
        <v>184.9</v>
      </c>
      <c r="M40" s="44">
        <f t="shared" si="22"/>
        <v>184.9</v>
      </c>
      <c r="N40" s="44">
        <f t="shared" si="22"/>
        <v>184.9</v>
      </c>
      <c r="O40" s="44">
        <f t="shared" si="22"/>
        <v>554.70000000000005</v>
      </c>
      <c r="P40" s="44">
        <f t="shared" si="22"/>
        <v>554.70000000000005</v>
      </c>
      <c r="Q40" s="44">
        <f t="shared" si="22"/>
        <v>554.70000000000005</v>
      </c>
      <c r="R40" s="44">
        <f t="shared" si="22"/>
        <v>554.70000000000005</v>
      </c>
      <c r="S40" s="44">
        <f t="shared" si="22"/>
        <v>554.70000000000005</v>
      </c>
      <c r="T40" s="44">
        <f t="shared" si="22"/>
        <v>554.70000000000005</v>
      </c>
      <c r="U40" s="44">
        <f t="shared" si="22"/>
        <v>554.70000000000005</v>
      </c>
      <c r="V40" s="44">
        <f t="shared" si="22"/>
        <v>1367.3000000000002</v>
      </c>
      <c r="W40" s="44">
        <f t="shared" si="22"/>
        <v>1367.3000000000002</v>
      </c>
    </row>
    <row r="41" spans="3:23" x14ac:dyDescent="0.25">
      <c r="C41" s="40" t="s">
        <v>67</v>
      </c>
      <c r="D41" s="44">
        <f>D35</f>
        <v>0</v>
      </c>
      <c r="E41" s="44">
        <f>D41+E35</f>
        <v>0</v>
      </c>
      <c r="F41" s="44">
        <f t="shared" ref="F41:W41" si="23">E41+F35</f>
        <v>0</v>
      </c>
      <c r="G41" s="44">
        <f t="shared" si="23"/>
        <v>0</v>
      </c>
      <c r="H41" s="44">
        <f t="shared" si="23"/>
        <v>0</v>
      </c>
      <c r="I41" s="44">
        <f t="shared" si="23"/>
        <v>0</v>
      </c>
      <c r="J41" s="44">
        <f t="shared" si="23"/>
        <v>0</v>
      </c>
      <c r="K41" s="44">
        <f t="shared" si="23"/>
        <v>0</v>
      </c>
      <c r="L41" s="44">
        <f t="shared" si="23"/>
        <v>0</v>
      </c>
      <c r="M41" s="44">
        <f t="shared" si="23"/>
        <v>0</v>
      </c>
      <c r="N41" s="44">
        <f t="shared" si="23"/>
        <v>0</v>
      </c>
      <c r="O41" s="44">
        <f t="shared" si="23"/>
        <v>0</v>
      </c>
      <c r="P41" s="44">
        <f t="shared" si="23"/>
        <v>0</v>
      </c>
      <c r="Q41" s="44">
        <f t="shared" si="23"/>
        <v>0</v>
      </c>
      <c r="R41" s="44">
        <f t="shared" si="23"/>
        <v>0</v>
      </c>
      <c r="S41" s="44">
        <f t="shared" si="23"/>
        <v>0</v>
      </c>
      <c r="T41" s="44">
        <f t="shared" si="23"/>
        <v>0</v>
      </c>
      <c r="U41" s="44">
        <f t="shared" si="23"/>
        <v>0</v>
      </c>
      <c r="V41" s="44">
        <f t="shared" si="23"/>
        <v>505.2</v>
      </c>
      <c r="W41" s="44">
        <f t="shared" si="23"/>
        <v>505.2</v>
      </c>
    </row>
    <row r="42" spans="3:23" x14ac:dyDescent="0.25">
      <c r="C42" s="40" t="s">
        <v>86</v>
      </c>
      <c r="D42" s="44">
        <f>D36</f>
        <v>0</v>
      </c>
      <c r="E42" s="44">
        <f>D42+E36</f>
        <v>247</v>
      </c>
      <c r="F42" s="44">
        <f t="shared" ref="F42:W42" si="24">E42+F36</f>
        <v>247</v>
      </c>
      <c r="G42" s="44">
        <f t="shared" si="24"/>
        <v>247</v>
      </c>
      <c r="H42" s="44">
        <f t="shared" si="24"/>
        <v>247</v>
      </c>
      <c r="I42" s="44">
        <f t="shared" si="24"/>
        <v>247</v>
      </c>
      <c r="J42" s="44">
        <f t="shared" si="24"/>
        <v>247</v>
      </c>
      <c r="K42" s="44">
        <f t="shared" si="24"/>
        <v>247</v>
      </c>
      <c r="L42" s="44">
        <f t="shared" si="24"/>
        <v>247</v>
      </c>
      <c r="M42" s="44">
        <f t="shared" si="24"/>
        <v>247</v>
      </c>
      <c r="N42" s="44">
        <f t="shared" si="24"/>
        <v>247</v>
      </c>
      <c r="O42" s="44">
        <f t="shared" si="24"/>
        <v>0</v>
      </c>
      <c r="P42" s="44">
        <f t="shared" si="24"/>
        <v>0</v>
      </c>
      <c r="Q42" s="44">
        <f t="shared" si="24"/>
        <v>0</v>
      </c>
      <c r="R42" s="44">
        <f t="shared" si="24"/>
        <v>0</v>
      </c>
      <c r="S42" s="44">
        <f t="shared" si="24"/>
        <v>0</v>
      </c>
      <c r="T42" s="44">
        <f t="shared" si="24"/>
        <v>0</v>
      </c>
      <c r="U42" s="44">
        <f t="shared" si="24"/>
        <v>0</v>
      </c>
      <c r="V42" s="44">
        <f t="shared" si="24"/>
        <v>0</v>
      </c>
      <c r="W42" s="44">
        <f t="shared" si="24"/>
        <v>0</v>
      </c>
    </row>
    <row r="43" spans="3:23" x14ac:dyDescent="0.25">
      <c r="C43" s="40" t="s">
        <v>74</v>
      </c>
      <c r="D43" s="44">
        <f t="shared" ref="D43" si="25">D37</f>
        <v>0</v>
      </c>
      <c r="E43" s="44">
        <f t="shared" ref="E43:W43" si="26">D43+E37</f>
        <v>0</v>
      </c>
      <c r="F43" s="44">
        <f t="shared" si="26"/>
        <v>0</v>
      </c>
      <c r="G43" s="44">
        <f t="shared" si="26"/>
        <v>0</v>
      </c>
      <c r="H43" s="44">
        <f t="shared" si="26"/>
        <v>0</v>
      </c>
      <c r="I43" s="44">
        <f t="shared" si="26"/>
        <v>0</v>
      </c>
      <c r="J43" s="44">
        <f t="shared" si="26"/>
        <v>0</v>
      </c>
      <c r="K43" s="44">
        <f t="shared" si="26"/>
        <v>0</v>
      </c>
      <c r="L43" s="44">
        <f t="shared" si="26"/>
        <v>0</v>
      </c>
      <c r="M43" s="44">
        <f t="shared" si="26"/>
        <v>0</v>
      </c>
      <c r="N43" s="44">
        <f t="shared" si="26"/>
        <v>0</v>
      </c>
      <c r="O43" s="44">
        <f t="shared" si="26"/>
        <v>0</v>
      </c>
      <c r="P43" s="44">
        <f t="shared" si="26"/>
        <v>0</v>
      </c>
      <c r="Q43" s="44">
        <f t="shared" si="26"/>
        <v>0</v>
      </c>
      <c r="R43" s="44">
        <f t="shared" si="26"/>
        <v>-356.30000000000007</v>
      </c>
      <c r="S43" s="44">
        <f t="shared" si="26"/>
        <v>-356.30000000000007</v>
      </c>
      <c r="T43" s="44">
        <f t="shared" si="26"/>
        <v>-356.30000000000007</v>
      </c>
      <c r="U43" s="44">
        <f t="shared" si="26"/>
        <v>-356.30000000000007</v>
      </c>
      <c r="V43" s="44">
        <f t="shared" si="26"/>
        <v>-593.30000000000007</v>
      </c>
      <c r="W43" s="44">
        <f t="shared" si="26"/>
        <v>-593.30000000000007</v>
      </c>
    </row>
    <row r="44" spans="3:23" x14ac:dyDescent="0.25">
      <c r="C44" s="40" t="s">
        <v>185</v>
      </c>
      <c r="D44" s="41">
        <f>D40+D42</f>
        <v>0</v>
      </c>
      <c r="E44" s="41">
        <f t="shared" ref="E44:W44" si="27">E40+E42</f>
        <v>247</v>
      </c>
      <c r="F44" s="41">
        <f t="shared" si="27"/>
        <v>247</v>
      </c>
      <c r="G44" s="41">
        <f t="shared" si="27"/>
        <v>247</v>
      </c>
      <c r="H44" s="41">
        <f t="shared" si="27"/>
        <v>247</v>
      </c>
      <c r="I44" s="41">
        <f t="shared" si="27"/>
        <v>247</v>
      </c>
      <c r="J44" s="41">
        <f t="shared" si="27"/>
        <v>247</v>
      </c>
      <c r="K44" s="41">
        <f t="shared" si="27"/>
        <v>431.9</v>
      </c>
      <c r="L44" s="41">
        <f t="shared" si="27"/>
        <v>431.9</v>
      </c>
      <c r="M44" s="41">
        <f t="shared" si="27"/>
        <v>431.9</v>
      </c>
      <c r="N44" s="41">
        <f t="shared" si="27"/>
        <v>431.9</v>
      </c>
      <c r="O44" s="41">
        <f t="shared" si="27"/>
        <v>554.70000000000005</v>
      </c>
      <c r="P44" s="41">
        <f t="shared" si="27"/>
        <v>554.70000000000005</v>
      </c>
      <c r="Q44" s="41">
        <f t="shared" si="27"/>
        <v>554.70000000000005</v>
      </c>
      <c r="R44" s="41">
        <f t="shared" si="27"/>
        <v>554.70000000000005</v>
      </c>
      <c r="S44" s="41">
        <f t="shared" si="27"/>
        <v>554.70000000000005</v>
      </c>
      <c r="T44" s="41">
        <f t="shared" si="27"/>
        <v>554.70000000000005</v>
      </c>
      <c r="U44" s="41">
        <f t="shared" si="27"/>
        <v>554.70000000000005</v>
      </c>
      <c r="V44" s="41">
        <f t="shared" si="27"/>
        <v>1367.3000000000002</v>
      </c>
      <c r="W44" s="41">
        <f t="shared" si="27"/>
        <v>1367.3000000000002</v>
      </c>
    </row>
    <row r="45" spans="3:23" ht="27" x14ac:dyDescent="0.35">
      <c r="C45" s="42" t="s">
        <v>79</v>
      </c>
    </row>
    <row r="46" spans="3:23" ht="15.75" x14ac:dyDescent="0.25">
      <c r="C46" s="43" t="s">
        <v>69</v>
      </c>
      <c r="D46" s="2">
        <v>2019</v>
      </c>
      <c r="E46" s="3">
        <v>2020</v>
      </c>
      <c r="F46" s="3">
        <v>2021</v>
      </c>
      <c r="G46" s="3">
        <v>2022</v>
      </c>
      <c r="H46" s="3">
        <v>2023</v>
      </c>
      <c r="I46" s="3">
        <v>2024</v>
      </c>
      <c r="J46" s="3">
        <v>2025</v>
      </c>
      <c r="K46" s="3">
        <v>2026</v>
      </c>
      <c r="L46" s="3">
        <v>2027</v>
      </c>
      <c r="M46" s="3">
        <v>2028</v>
      </c>
      <c r="N46" s="3">
        <v>2029</v>
      </c>
      <c r="O46" s="3">
        <v>2030</v>
      </c>
      <c r="P46" s="3">
        <v>2031</v>
      </c>
      <c r="Q46" s="3">
        <v>2032</v>
      </c>
      <c r="R46" s="3">
        <v>2033</v>
      </c>
      <c r="S46" s="3">
        <v>2034</v>
      </c>
      <c r="T46" s="3">
        <v>2035</v>
      </c>
      <c r="U46" s="3">
        <v>2036</v>
      </c>
      <c r="V46" s="3">
        <v>2037</v>
      </c>
      <c r="W46" s="3">
        <v>2038</v>
      </c>
    </row>
    <row r="47" spans="3:23" x14ac:dyDescent="0.25">
      <c r="C47" s="40" t="s">
        <v>64</v>
      </c>
      <c r="D47" s="44">
        <f>SUMIF($A$69:$A$500,$C47,D$69:D$500)</f>
        <v>126</v>
      </c>
      <c r="E47" s="44">
        <f t="shared" ref="E47:T48" si="28">SUMIF($A$69:$A$500,$C47,E$69:E$500)</f>
        <v>132.06</v>
      </c>
      <c r="F47" s="44">
        <f t="shared" si="28"/>
        <v>132.69000000000003</v>
      </c>
      <c r="G47" s="44">
        <f t="shared" si="28"/>
        <v>142.58000000000001</v>
      </c>
      <c r="H47" s="44">
        <f t="shared" si="28"/>
        <v>146.74000000000004</v>
      </c>
      <c r="I47" s="44">
        <f t="shared" si="28"/>
        <v>151.06</v>
      </c>
      <c r="J47" s="44">
        <f t="shared" si="28"/>
        <v>147.19</v>
      </c>
      <c r="K47" s="44">
        <f t="shared" si="28"/>
        <v>144.01000000000002</v>
      </c>
      <c r="L47" s="44">
        <f t="shared" si="28"/>
        <v>143.26000000000002</v>
      </c>
      <c r="M47" s="44">
        <f t="shared" si="28"/>
        <v>137.82</v>
      </c>
      <c r="N47" s="44">
        <f t="shared" si="28"/>
        <v>126.4</v>
      </c>
      <c r="O47" s="44">
        <f t="shared" si="28"/>
        <v>120.44</v>
      </c>
      <c r="P47" s="44">
        <f t="shared" si="28"/>
        <v>113.54</v>
      </c>
      <c r="Q47" s="44">
        <f t="shared" si="28"/>
        <v>110.14000000000001</v>
      </c>
      <c r="R47" s="44">
        <f t="shared" si="28"/>
        <v>99.42</v>
      </c>
      <c r="S47" s="44">
        <f t="shared" si="28"/>
        <v>81.789999999999992</v>
      </c>
      <c r="T47" s="44">
        <f t="shared" si="28"/>
        <v>77.370000000000019</v>
      </c>
      <c r="U47" s="44">
        <f t="shared" ref="U47:W48" si="29">SUMIF($A$69:$A$500,$C47,U$69:U$500)</f>
        <v>65.28</v>
      </c>
      <c r="V47" s="44">
        <f t="shared" si="29"/>
        <v>58.099999999999994</v>
      </c>
      <c r="W47" s="44">
        <f t="shared" si="29"/>
        <v>59.230000000000011</v>
      </c>
    </row>
    <row r="48" spans="3:23" x14ac:dyDescent="0.25">
      <c r="C48" s="40" t="s">
        <v>63</v>
      </c>
      <c r="D48" s="44">
        <f t="shared" ref="D48" si="30">SUMIF($A$69:$A$500,$C48,D$69:D$500)</f>
        <v>4.0599999999999996</v>
      </c>
      <c r="E48" s="44">
        <f t="shared" si="28"/>
        <v>0</v>
      </c>
      <c r="F48" s="44">
        <f t="shared" si="28"/>
        <v>7.0039999999999996</v>
      </c>
      <c r="G48" s="44">
        <f t="shared" si="28"/>
        <v>0</v>
      </c>
      <c r="H48" s="44">
        <f t="shared" si="28"/>
        <v>18.11</v>
      </c>
      <c r="I48" s="44">
        <f t="shared" si="28"/>
        <v>0</v>
      </c>
      <c r="J48" s="44">
        <f t="shared" si="28"/>
        <v>8.2110000000000003</v>
      </c>
      <c r="K48" s="44">
        <f t="shared" si="28"/>
        <v>7.1660000000000004</v>
      </c>
      <c r="L48" s="44">
        <f t="shared" si="28"/>
        <v>0</v>
      </c>
      <c r="M48" s="44">
        <f t="shared" si="28"/>
        <v>0</v>
      </c>
      <c r="N48" s="44">
        <f t="shared" si="28"/>
        <v>132.71099999999998</v>
      </c>
      <c r="O48" s="44">
        <f t="shared" si="28"/>
        <v>8.2140000000000004</v>
      </c>
      <c r="P48" s="44">
        <f t="shared" si="28"/>
        <v>0</v>
      </c>
      <c r="Q48" s="44">
        <f t="shared" si="28"/>
        <v>11.995000000000001</v>
      </c>
      <c r="R48" s="44">
        <f t="shared" si="28"/>
        <v>0</v>
      </c>
      <c r="S48" s="44">
        <f t="shared" si="28"/>
        <v>0</v>
      </c>
      <c r="T48" s="44">
        <f t="shared" si="28"/>
        <v>15.343</v>
      </c>
      <c r="U48" s="44">
        <f t="shared" si="29"/>
        <v>3.6539999999999999</v>
      </c>
      <c r="V48" s="44">
        <f t="shared" si="29"/>
        <v>59.272000000000006</v>
      </c>
      <c r="W48" s="44">
        <f t="shared" si="29"/>
        <v>168.649</v>
      </c>
    </row>
    <row r="50" spans="2:23" ht="15.75" x14ac:dyDescent="0.25">
      <c r="C50" s="43" t="s">
        <v>70</v>
      </c>
      <c r="D50" s="2">
        <v>2019</v>
      </c>
      <c r="E50" s="3">
        <v>2020</v>
      </c>
      <c r="F50" s="3">
        <v>2021</v>
      </c>
      <c r="G50" s="3">
        <v>2022</v>
      </c>
      <c r="H50" s="3">
        <v>2023</v>
      </c>
      <c r="I50" s="3">
        <v>2024</v>
      </c>
      <c r="J50" s="3">
        <v>2025</v>
      </c>
      <c r="K50" s="3">
        <v>2026</v>
      </c>
      <c r="L50" s="3">
        <v>2027</v>
      </c>
      <c r="M50" s="3">
        <v>2028</v>
      </c>
      <c r="N50" s="3">
        <v>2029</v>
      </c>
      <c r="O50" s="3">
        <v>2030</v>
      </c>
      <c r="P50" s="3">
        <v>2031</v>
      </c>
      <c r="Q50" s="3">
        <v>2032</v>
      </c>
      <c r="R50" s="3">
        <v>2033</v>
      </c>
      <c r="S50" s="3">
        <v>2034</v>
      </c>
      <c r="T50" s="3">
        <v>2035</v>
      </c>
      <c r="U50" s="3">
        <v>2036</v>
      </c>
      <c r="V50" s="3">
        <v>2037</v>
      </c>
      <c r="W50" s="3">
        <v>2038</v>
      </c>
    </row>
    <row r="51" spans="2:23" x14ac:dyDescent="0.25">
      <c r="C51" s="40" t="s">
        <v>64</v>
      </c>
      <c r="D51" s="44">
        <f>D47</f>
        <v>126</v>
      </c>
      <c r="E51" s="44">
        <f t="shared" ref="E51:W52" si="31">D51+E47</f>
        <v>258.06</v>
      </c>
      <c r="F51" s="44">
        <f t="shared" si="31"/>
        <v>390.75</v>
      </c>
      <c r="G51" s="44">
        <f t="shared" si="31"/>
        <v>533.33000000000004</v>
      </c>
      <c r="H51" s="44">
        <f t="shared" si="31"/>
        <v>680.07</v>
      </c>
      <c r="I51" s="44">
        <f t="shared" si="31"/>
        <v>831.13000000000011</v>
      </c>
      <c r="J51" s="44">
        <f t="shared" si="31"/>
        <v>978.32000000000016</v>
      </c>
      <c r="K51" s="44">
        <f t="shared" si="31"/>
        <v>1122.3300000000002</v>
      </c>
      <c r="L51" s="44">
        <f t="shared" si="31"/>
        <v>1265.5900000000001</v>
      </c>
      <c r="M51" s="44">
        <f t="shared" si="31"/>
        <v>1403.41</v>
      </c>
      <c r="N51" s="44">
        <f t="shared" si="31"/>
        <v>1529.8100000000002</v>
      </c>
      <c r="O51" s="44">
        <f t="shared" si="31"/>
        <v>1650.2500000000002</v>
      </c>
      <c r="P51" s="44">
        <f t="shared" si="31"/>
        <v>1763.7900000000002</v>
      </c>
      <c r="Q51" s="44">
        <f t="shared" si="31"/>
        <v>1873.9300000000003</v>
      </c>
      <c r="R51" s="44">
        <f t="shared" si="31"/>
        <v>1973.3500000000004</v>
      </c>
      <c r="S51" s="44">
        <f t="shared" si="31"/>
        <v>2055.1400000000003</v>
      </c>
      <c r="T51" s="44">
        <f t="shared" si="31"/>
        <v>2132.5100000000002</v>
      </c>
      <c r="U51" s="44">
        <f t="shared" si="31"/>
        <v>2197.7900000000004</v>
      </c>
      <c r="V51" s="44">
        <f t="shared" si="31"/>
        <v>2255.8900000000003</v>
      </c>
      <c r="W51" s="44">
        <f t="shared" si="31"/>
        <v>2315.1200000000003</v>
      </c>
    </row>
    <row r="52" spans="2:23" x14ac:dyDescent="0.25">
      <c r="C52" s="40" t="s">
        <v>63</v>
      </c>
      <c r="D52" s="44">
        <f>D48</f>
        <v>4.0599999999999996</v>
      </c>
      <c r="E52" s="44">
        <f t="shared" si="31"/>
        <v>4.0599999999999996</v>
      </c>
      <c r="F52" s="44">
        <f t="shared" si="31"/>
        <v>11.064</v>
      </c>
      <c r="G52" s="44">
        <f t="shared" si="31"/>
        <v>11.064</v>
      </c>
      <c r="H52" s="44">
        <f t="shared" si="31"/>
        <v>29.173999999999999</v>
      </c>
      <c r="I52" s="44">
        <f t="shared" si="31"/>
        <v>29.173999999999999</v>
      </c>
      <c r="J52" s="44">
        <f t="shared" si="31"/>
        <v>37.384999999999998</v>
      </c>
      <c r="K52" s="44">
        <f t="shared" si="31"/>
        <v>44.551000000000002</v>
      </c>
      <c r="L52" s="44">
        <f t="shared" si="31"/>
        <v>44.551000000000002</v>
      </c>
      <c r="M52" s="44">
        <f t="shared" si="31"/>
        <v>44.551000000000002</v>
      </c>
      <c r="N52" s="44">
        <f t="shared" si="31"/>
        <v>177.262</v>
      </c>
      <c r="O52" s="44">
        <f t="shared" si="31"/>
        <v>185.476</v>
      </c>
      <c r="P52" s="44">
        <f t="shared" si="31"/>
        <v>185.476</v>
      </c>
      <c r="Q52" s="44">
        <f t="shared" si="31"/>
        <v>197.471</v>
      </c>
      <c r="R52" s="44">
        <f t="shared" si="31"/>
        <v>197.471</v>
      </c>
      <c r="S52" s="44">
        <f t="shared" si="31"/>
        <v>197.471</v>
      </c>
      <c r="T52" s="44">
        <f t="shared" si="31"/>
        <v>212.81399999999999</v>
      </c>
      <c r="U52" s="44">
        <f t="shared" si="31"/>
        <v>216.46799999999999</v>
      </c>
      <c r="V52" s="44">
        <f t="shared" si="31"/>
        <v>275.74</v>
      </c>
      <c r="W52" s="44">
        <f t="shared" si="31"/>
        <v>444.38900000000001</v>
      </c>
    </row>
    <row r="53" spans="2:23" x14ac:dyDescent="0.25"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</row>
    <row r="54" spans="2:23" ht="27" x14ac:dyDescent="0.35">
      <c r="C54" s="42" t="s">
        <v>80</v>
      </c>
    </row>
    <row r="55" spans="2:23" ht="15.75" x14ac:dyDescent="0.25">
      <c r="C55" s="43" t="s">
        <v>69</v>
      </c>
      <c r="D55" s="2">
        <v>2019</v>
      </c>
      <c r="E55" s="3">
        <v>2020</v>
      </c>
      <c r="F55" s="3">
        <v>2021</v>
      </c>
      <c r="G55" s="3">
        <v>2022</v>
      </c>
      <c r="H55" s="3">
        <v>2023</v>
      </c>
      <c r="I55" s="3">
        <v>2024</v>
      </c>
      <c r="J55" s="3">
        <v>2025</v>
      </c>
      <c r="K55" s="3">
        <v>2026</v>
      </c>
      <c r="L55" s="3">
        <v>2027</v>
      </c>
      <c r="M55" s="3">
        <v>2028</v>
      </c>
      <c r="N55" s="3">
        <v>2029</v>
      </c>
      <c r="O55" s="3">
        <v>2030</v>
      </c>
      <c r="P55" s="3">
        <v>2031</v>
      </c>
      <c r="Q55" s="3">
        <v>2032</v>
      </c>
      <c r="R55" s="3">
        <v>2033</v>
      </c>
      <c r="S55" s="3">
        <v>2034</v>
      </c>
      <c r="T55" s="3">
        <v>2035</v>
      </c>
      <c r="U55" s="3">
        <v>2036</v>
      </c>
      <c r="V55" s="3">
        <v>2037</v>
      </c>
      <c r="W55" s="3">
        <v>2038</v>
      </c>
    </row>
    <row r="56" spans="2:23" x14ac:dyDescent="0.25">
      <c r="C56" s="40" t="s">
        <v>66</v>
      </c>
      <c r="D56" s="44">
        <f>SUMIF($A$69:$A$500,$C56,D$69:D$500)</f>
        <v>997.76199999999994</v>
      </c>
      <c r="E56" s="44">
        <f t="shared" ref="E56:T57" si="32">SUMIF($A$69:$A$500,$C56,E$69:E$500)</f>
        <v>719.45</v>
      </c>
      <c r="F56" s="44">
        <f t="shared" si="32"/>
        <v>493</v>
      </c>
      <c r="G56" s="44">
        <f t="shared" si="32"/>
        <v>502.68</v>
      </c>
      <c r="H56" s="44">
        <f t="shared" si="32"/>
        <v>497.88</v>
      </c>
      <c r="I56" s="44">
        <f t="shared" si="32"/>
        <v>130.94999999999999</v>
      </c>
      <c r="J56" s="44">
        <f t="shared" si="32"/>
        <v>126.44500000000001</v>
      </c>
      <c r="K56" s="44">
        <f t="shared" si="32"/>
        <v>191.24</v>
      </c>
      <c r="L56" s="44">
        <f t="shared" si="32"/>
        <v>264</v>
      </c>
      <c r="M56" s="44">
        <f t="shared" si="32"/>
        <v>1162.54</v>
      </c>
      <c r="N56" s="44">
        <f t="shared" si="32"/>
        <v>1375</v>
      </c>
      <c r="O56" s="44">
        <f t="shared" si="32"/>
        <v>1273.6300000000001</v>
      </c>
      <c r="P56" s="44">
        <f t="shared" si="32"/>
        <v>1248.79</v>
      </c>
      <c r="Q56" s="44">
        <f t="shared" si="32"/>
        <v>1281.31</v>
      </c>
      <c r="R56" s="44">
        <f t="shared" si="32"/>
        <v>1372.69</v>
      </c>
      <c r="S56" s="44">
        <f t="shared" si="32"/>
        <v>1375</v>
      </c>
      <c r="T56" s="44">
        <f t="shared" si="32"/>
        <v>1374.4749999999999</v>
      </c>
      <c r="U56" s="44">
        <f t="shared" ref="U56:W57" si="33">SUMIF($A$69:$A$500,$C56,U$69:U$500)</f>
        <v>1276.5999999999999</v>
      </c>
      <c r="V56" s="44">
        <f t="shared" si="33"/>
        <v>1374.4749999999999</v>
      </c>
      <c r="W56" s="44">
        <f t="shared" si="33"/>
        <v>1375</v>
      </c>
    </row>
    <row r="57" spans="2:23" x14ac:dyDescent="0.25">
      <c r="C57" s="40" t="s">
        <v>98</v>
      </c>
      <c r="D57" s="44">
        <f t="shared" ref="D57" si="34">SUMIF($A$69:$A$500,$C57,D$69:D$500)</f>
        <v>151.44499999999999</v>
      </c>
      <c r="E57" s="44">
        <f t="shared" si="32"/>
        <v>130.95999999999998</v>
      </c>
      <c r="F57" s="44">
        <f t="shared" si="32"/>
        <v>268.48</v>
      </c>
      <c r="G57" s="44">
        <f t="shared" si="32"/>
        <v>303.32</v>
      </c>
      <c r="H57" s="44">
        <f t="shared" si="32"/>
        <v>314</v>
      </c>
      <c r="I57" s="44">
        <f t="shared" si="32"/>
        <v>44.274999999999999</v>
      </c>
      <c r="J57" s="44">
        <f t="shared" si="32"/>
        <v>50.8</v>
      </c>
      <c r="K57" s="44">
        <f t="shared" si="32"/>
        <v>52.575000000000003</v>
      </c>
      <c r="L57" s="44">
        <f t="shared" si="32"/>
        <v>99.65</v>
      </c>
      <c r="M57" s="44">
        <f t="shared" si="32"/>
        <v>231.56</v>
      </c>
      <c r="N57" s="44">
        <f t="shared" si="32"/>
        <v>222.2</v>
      </c>
      <c r="O57" s="44">
        <f t="shared" si="32"/>
        <v>172.97000000000003</v>
      </c>
      <c r="P57" s="44">
        <f t="shared" si="32"/>
        <v>191.99</v>
      </c>
      <c r="Q57" s="44">
        <f t="shared" si="32"/>
        <v>128.03</v>
      </c>
      <c r="R57" s="44">
        <f t="shared" si="32"/>
        <v>62.76</v>
      </c>
      <c r="S57" s="44">
        <f t="shared" si="32"/>
        <v>0</v>
      </c>
      <c r="T57" s="44">
        <f t="shared" si="32"/>
        <v>35.4</v>
      </c>
      <c r="U57" s="44">
        <f t="shared" si="33"/>
        <v>0</v>
      </c>
      <c r="V57" s="44">
        <f t="shared" si="33"/>
        <v>0</v>
      </c>
      <c r="W57" s="44">
        <f t="shared" si="33"/>
        <v>0</v>
      </c>
    </row>
    <row r="59" spans="2:23" x14ac:dyDescent="0.25">
      <c r="C59" s="40" t="s">
        <v>83</v>
      </c>
      <c r="D59" s="44">
        <f>D8+D30+D43</f>
        <v>0</v>
      </c>
      <c r="E59" s="44">
        <f t="shared" ref="E59:W59" si="35">E8+E30+E43</f>
        <v>-307.64999999999998</v>
      </c>
      <c r="F59" s="44">
        <f t="shared" si="35"/>
        <v>-880.35</v>
      </c>
      <c r="G59" s="44">
        <f t="shared" si="35"/>
        <v>-1104.3499999999999</v>
      </c>
      <c r="H59" s="44">
        <f t="shared" si="35"/>
        <v>-1105.75</v>
      </c>
      <c r="I59" s="44">
        <f t="shared" si="35"/>
        <v>-1518.05</v>
      </c>
      <c r="J59" s="44">
        <f t="shared" si="35"/>
        <v>-1518.05</v>
      </c>
      <c r="K59" s="44">
        <f t="shared" si="35"/>
        <v>-2023.25</v>
      </c>
      <c r="L59" s="44">
        <f t="shared" si="35"/>
        <v>-2107.75</v>
      </c>
      <c r="M59" s="44">
        <f t="shared" si="35"/>
        <v>-3019.9500000000003</v>
      </c>
      <c r="N59" s="44">
        <f t="shared" si="35"/>
        <v>-3469.1500000000005</v>
      </c>
      <c r="O59" s="44">
        <f t="shared" si="35"/>
        <v>-3618.2500000000005</v>
      </c>
      <c r="P59" s="44">
        <f t="shared" si="35"/>
        <v>-3968.4500000000003</v>
      </c>
      <c r="Q59" s="44">
        <f t="shared" si="35"/>
        <v>-4082.3500000000004</v>
      </c>
      <c r="R59" s="44">
        <f t="shared" si="35"/>
        <v>-4639.55</v>
      </c>
      <c r="S59" s="44">
        <f t="shared" si="35"/>
        <v>-4795.3570000000009</v>
      </c>
      <c r="T59" s="44">
        <f t="shared" si="35"/>
        <v>-4831.2570000000005</v>
      </c>
      <c r="U59" s="44">
        <f t="shared" si="35"/>
        <v>-5111.5570000000007</v>
      </c>
      <c r="V59" s="44">
        <f t="shared" si="35"/>
        <v>-7371.7570000000005</v>
      </c>
      <c r="W59" s="44">
        <f t="shared" si="35"/>
        <v>-8116.7570000000014</v>
      </c>
    </row>
    <row r="61" spans="2:23" x14ac:dyDescent="0.25">
      <c r="D61" s="40" t="s">
        <v>209</v>
      </c>
      <c r="E61" s="41">
        <f>AVERAGE(E56:L56)</f>
        <v>365.70562500000005</v>
      </c>
    </row>
    <row r="62" spans="2:23" x14ac:dyDescent="0.25">
      <c r="E62" s="41">
        <f>'Port 2017 IRP'!G60-'Port P45CNW'!E61</f>
        <v>548.17537500000003</v>
      </c>
    </row>
    <row r="63" spans="2:23" x14ac:dyDescent="0.25">
      <c r="E63" s="40">
        <f>E62/'Port 2017 IRP'!G60</f>
        <v>0.59983233593870533</v>
      </c>
    </row>
    <row r="64" spans="2:23" ht="18.75" x14ac:dyDescent="0.3">
      <c r="B64" s="4" t="s">
        <v>181</v>
      </c>
      <c r="C64" s="5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1:23" ht="18.75" x14ac:dyDescent="0.3">
      <c r="B65" s="48"/>
      <c r="C65" s="7"/>
      <c r="D65" s="49" t="s">
        <v>6</v>
      </c>
      <c r="E65" s="8"/>
      <c r="F65" s="8"/>
      <c r="G65" s="9"/>
      <c r="H65" s="9"/>
      <c r="I65" s="8"/>
      <c r="J65" s="8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</row>
    <row r="66" spans="1:23" ht="18.75" x14ac:dyDescent="0.25">
      <c r="B66" s="10"/>
      <c r="C66" s="11"/>
      <c r="D66" s="12" t="s">
        <v>7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</row>
    <row r="67" spans="1:23" ht="15.75" x14ac:dyDescent="0.25">
      <c r="B67" s="14"/>
      <c r="C67" s="15" t="s">
        <v>0</v>
      </c>
      <c r="D67" s="2">
        <v>2019</v>
      </c>
      <c r="E67" s="3">
        <v>2020</v>
      </c>
      <c r="F67" s="3">
        <v>2021</v>
      </c>
      <c r="G67" s="3">
        <v>2022</v>
      </c>
      <c r="H67" s="3">
        <v>2023</v>
      </c>
      <c r="I67" s="3">
        <v>2024</v>
      </c>
      <c r="J67" s="3">
        <v>2025</v>
      </c>
      <c r="K67" s="3">
        <v>2026</v>
      </c>
      <c r="L67" s="3">
        <v>2027</v>
      </c>
      <c r="M67" s="3">
        <v>2028</v>
      </c>
      <c r="N67" s="3">
        <v>2029</v>
      </c>
      <c r="O67" s="3">
        <v>2030</v>
      </c>
      <c r="P67" s="3">
        <v>2031</v>
      </c>
      <c r="Q67" s="3">
        <v>2032</v>
      </c>
      <c r="R67" s="3">
        <v>2033</v>
      </c>
      <c r="S67" s="3">
        <v>2034</v>
      </c>
      <c r="T67" s="3">
        <v>2035</v>
      </c>
      <c r="U67" s="3">
        <v>2036</v>
      </c>
      <c r="V67" s="3">
        <v>2037</v>
      </c>
      <c r="W67" s="3">
        <v>2038</v>
      </c>
    </row>
    <row r="68" spans="1:23" x14ac:dyDescent="0.25">
      <c r="B68" s="16" t="s">
        <v>1</v>
      </c>
      <c r="C68" s="17" t="s">
        <v>2</v>
      </c>
      <c r="D68" s="18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20"/>
    </row>
    <row r="69" spans="1:23" ht="15.75" x14ac:dyDescent="0.25">
      <c r="A69" s="40" t="s">
        <v>73</v>
      </c>
      <c r="B69" s="21"/>
      <c r="C69" s="22" t="s">
        <v>3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-82.3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</row>
    <row r="70" spans="1:23" ht="15.75" x14ac:dyDescent="0.25">
      <c r="A70" s="40" t="s">
        <v>73</v>
      </c>
      <c r="B70" s="21"/>
      <c r="C70" s="22" t="s">
        <v>88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-81.5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</row>
    <row r="71" spans="1:23" ht="15.75" x14ac:dyDescent="0.25">
      <c r="A71" s="40" t="s">
        <v>73</v>
      </c>
      <c r="B71" s="21"/>
      <c r="C71" s="22" t="s">
        <v>4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-43.9</v>
      </c>
      <c r="Q71" s="23">
        <v>0</v>
      </c>
      <c r="R71" s="23">
        <v>0</v>
      </c>
      <c r="S71" s="23">
        <v>0</v>
      </c>
      <c r="T71" s="23">
        <v>0</v>
      </c>
      <c r="U71" s="23">
        <v>0</v>
      </c>
      <c r="V71" s="23">
        <v>0</v>
      </c>
      <c r="W71" s="23">
        <v>0</v>
      </c>
    </row>
    <row r="72" spans="1:23" ht="15.75" x14ac:dyDescent="0.25">
      <c r="A72" s="40" t="s">
        <v>73</v>
      </c>
      <c r="B72" s="21"/>
      <c r="C72" s="22" t="s">
        <v>5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-32.700000000000003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</row>
    <row r="73" spans="1:23" ht="15.75" x14ac:dyDescent="0.25">
      <c r="A73" s="40" t="s">
        <v>73</v>
      </c>
      <c r="B73" s="21"/>
      <c r="C73" s="22" t="s">
        <v>8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  <c r="Q73" s="23">
        <v>0</v>
      </c>
      <c r="R73" s="23">
        <v>0</v>
      </c>
      <c r="S73" s="23">
        <v>0</v>
      </c>
      <c r="T73" s="23">
        <v>0</v>
      </c>
      <c r="U73" s="23">
        <v>0</v>
      </c>
      <c r="V73" s="23">
        <v>-459</v>
      </c>
      <c r="W73" s="23">
        <v>0</v>
      </c>
    </row>
    <row r="74" spans="1:23" ht="15.75" x14ac:dyDescent="0.25">
      <c r="A74" s="40" t="s">
        <v>73</v>
      </c>
      <c r="B74" s="21"/>
      <c r="C74" s="22" t="s">
        <v>9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  <c r="V74" s="23">
        <v>-450</v>
      </c>
      <c r="W74" s="23">
        <v>0</v>
      </c>
    </row>
    <row r="75" spans="1:23" ht="15.75" x14ac:dyDescent="0.25">
      <c r="A75" s="40" t="s">
        <v>73</v>
      </c>
      <c r="B75" s="21"/>
      <c r="C75" s="22" t="s">
        <v>89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-74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</row>
    <row r="76" spans="1:23" ht="15.75" x14ac:dyDescent="0.25">
      <c r="A76" s="40" t="s">
        <v>73</v>
      </c>
      <c r="B76" s="21"/>
      <c r="C76" s="22" t="s">
        <v>90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-74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</row>
    <row r="77" spans="1:23" ht="15.75" x14ac:dyDescent="0.25">
      <c r="A77" s="40" t="s">
        <v>73</v>
      </c>
      <c r="B77" s="21"/>
      <c r="C77" s="22" t="s">
        <v>10</v>
      </c>
      <c r="D77" s="23">
        <v>0</v>
      </c>
      <c r="E77" s="23">
        <v>0</v>
      </c>
      <c r="F77" s="23">
        <v>-387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</row>
    <row r="78" spans="1:23" ht="15.75" x14ac:dyDescent="0.25">
      <c r="A78" s="40" t="s">
        <v>73</v>
      </c>
      <c r="B78" s="21"/>
      <c r="C78" s="22" t="s">
        <v>11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-99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</row>
    <row r="79" spans="1:23" ht="15.75" x14ac:dyDescent="0.25">
      <c r="A79" s="40" t="s">
        <v>73</v>
      </c>
      <c r="B79" s="21"/>
      <c r="C79" s="22" t="s">
        <v>12</v>
      </c>
      <c r="D79" s="23">
        <v>0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-106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23">
        <v>0</v>
      </c>
      <c r="W79" s="23">
        <v>0</v>
      </c>
    </row>
    <row r="80" spans="1:23" ht="15.75" x14ac:dyDescent="0.25">
      <c r="A80" s="40" t="s">
        <v>73</v>
      </c>
      <c r="B80" s="21"/>
      <c r="C80" s="22" t="s">
        <v>13</v>
      </c>
      <c r="D80" s="23">
        <v>0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-220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23">
        <v>0</v>
      </c>
      <c r="W80" s="23">
        <v>0</v>
      </c>
    </row>
    <row r="81" spans="1:23" ht="15.75" x14ac:dyDescent="0.25">
      <c r="A81" s="40" t="s">
        <v>73</v>
      </c>
      <c r="B81" s="21"/>
      <c r="C81" s="22" t="s">
        <v>14</v>
      </c>
      <c r="D81" s="23">
        <v>0</v>
      </c>
      <c r="E81" s="23">
        <v>0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-330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23">
        <v>0</v>
      </c>
    </row>
    <row r="82" spans="1:23" ht="15.75" x14ac:dyDescent="0.25">
      <c r="A82" s="40" t="s">
        <v>73</v>
      </c>
      <c r="B82" s="21"/>
      <c r="C82" s="22" t="s">
        <v>94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-156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</row>
    <row r="83" spans="1:23" ht="15.75" x14ac:dyDescent="0.25">
      <c r="A83" s="40" t="s">
        <v>73</v>
      </c>
      <c r="B83" s="21"/>
      <c r="C83" s="22" t="s">
        <v>95</v>
      </c>
      <c r="D83" s="23">
        <v>0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-201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</row>
    <row r="84" spans="1:23" ht="15.75" x14ac:dyDescent="0.25">
      <c r="A84" s="40" t="s">
        <v>73</v>
      </c>
      <c r="B84" s="21"/>
      <c r="C84" s="22" t="s">
        <v>15</v>
      </c>
      <c r="D84" s="23">
        <v>0</v>
      </c>
      <c r="E84" s="23">
        <v>-280</v>
      </c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</row>
    <row r="85" spans="1:23" ht="15.75" x14ac:dyDescent="0.25">
      <c r="A85" s="40" t="s">
        <v>74</v>
      </c>
      <c r="B85" s="21"/>
      <c r="C85" s="22" t="s">
        <v>16</v>
      </c>
      <c r="D85" s="24">
        <v>0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  <c r="O85" s="24">
        <v>0</v>
      </c>
      <c r="P85" s="24">
        <v>0</v>
      </c>
      <c r="Q85" s="24">
        <v>0</v>
      </c>
      <c r="R85" s="24">
        <v>-356.30000000000007</v>
      </c>
      <c r="S85" s="24">
        <v>0</v>
      </c>
      <c r="T85" s="24">
        <v>0</v>
      </c>
      <c r="U85" s="24">
        <v>0</v>
      </c>
      <c r="V85" s="24">
        <v>0</v>
      </c>
      <c r="W85" s="24">
        <v>0</v>
      </c>
    </row>
    <row r="86" spans="1:23" ht="15.75" x14ac:dyDescent="0.25">
      <c r="A86" s="40" t="s">
        <v>75</v>
      </c>
      <c r="B86" s="21"/>
      <c r="C86" s="22" t="s">
        <v>17</v>
      </c>
      <c r="D86" s="23">
        <v>0</v>
      </c>
      <c r="E86" s="23">
        <v>0</v>
      </c>
      <c r="F86" s="23">
        <v>0</v>
      </c>
      <c r="G86" s="23">
        <v>0</v>
      </c>
      <c r="H86" s="23">
        <v>0</v>
      </c>
      <c r="I86" s="23">
        <v>-20.28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</row>
    <row r="87" spans="1:23" ht="15.75" x14ac:dyDescent="0.25">
      <c r="A87" s="40" t="s">
        <v>76</v>
      </c>
      <c r="B87" s="21"/>
      <c r="C87" s="22" t="s">
        <v>18</v>
      </c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-40.200000000000003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23">
        <v>0</v>
      </c>
      <c r="W87" s="23">
        <v>0</v>
      </c>
    </row>
    <row r="88" spans="1:23" ht="15.75" x14ac:dyDescent="0.25">
      <c r="A88" s="40" t="s">
        <v>76</v>
      </c>
      <c r="B88" s="21"/>
      <c r="C88" s="22" t="s">
        <v>19</v>
      </c>
      <c r="D88" s="23">
        <v>0</v>
      </c>
      <c r="E88" s="23">
        <v>-26.55</v>
      </c>
      <c r="F88" s="23">
        <v>-16.8</v>
      </c>
      <c r="G88" s="23">
        <v>-49</v>
      </c>
      <c r="H88" s="23">
        <v>-0.2</v>
      </c>
      <c r="I88" s="23">
        <v>0</v>
      </c>
      <c r="J88" s="23">
        <v>0</v>
      </c>
      <c r="K88" s="23">
        <v>-64.5</v>
      </c>
      <c r="L88" s="23">
        <v>-3</v>
      </c>
      <c r="M88" s="23">
        <v>0</v>
      </c>
      <c r="N88" s="23">
        <v>-18.899999999999999</v>
      </c>
      <c r="O88" s="23">
        <v>-99</v>
      </c>
      <c r="P88" s="23">
        <v>-200.2</v>
      </c>
      <c r="Q88" s="23">
        <v>-45</v>
      </c>
      <c r="R88" s="23">
        <v>-180.9</v>
      </c>
      <c r="S88" s="23">
        <v>-80</v>
      </c>
      <c r="T88" s="23">
        <v>0</v>
      </c>
      <c r="U88" s="23">
        <v>-60</v>
      </c>
      <c r="V88" s="23">
        <v>-80</v>
      </c>
      <c r="W88" s="23">
        <v>0</v>
      </c>
    </row>
    <row r="89" spans="1:23" ht="15.75" x14ac:dyDescent="0.25">
      <c r="A89" s="40" t="s">
        <v>77</v>
      </c>
      <c r="B89" s="21"/>
      <c r="C89" s="22" t="s">
        <v>20</v>
      </c>
      <c r="D89" s="23">
        <v>0</v>
      </c>
      <c r="E89" s="23">
        <v>0</v>
      </c>
      <c r="F89" s="23">
        <v>0</v>
      </c>
      <c r="G89" s="23">
        <v>0</v>
      </c>
      <c r="H89" s="23">
        <v>-0.5</v>
      </c>
      <c r="I89" s="23">
        <v>-0.52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3">
        <v>0</v>
      </c>
      <c r="S89" s="23">
        <v>0</v>
      </c>
      <c r="T89" s="23">
        <v>-35.1</v>
      </c>
      <c r="U89" s="23">
        <v>-94.100000000000009</v>
      </c>
      <c r="V89" s="23">
        <v>-849</v>
      </c>
      <c r="W89" s="23">
        <v>0</v>
      </c>
    </row>
    <row r="90" spans="1:23" ht="15.75" x14ac:dyDescent="0.25">
      <c r="A90" s="40" t="s">
        <v>78</v>
      </c>
      <c r="B90" s="21"/>
      <c r="C90" s="22" t="s">
        <v>21</v>
      </c>
      <c r="D90" s="23">
        <v>0</v>
      </c>
      <c r="E90" s="23">
        <v>0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-0.90700000000000003</v>
      </c>
      <c r="T90" s="23">
        <v>0</v>
      </c>
      <c r="U90" s="23">
        <v>0</v>
      </c>
      <c r="V90" s="23">
        <v>0</v>
      </c>
      <c r="W90" s="23">
        <v>-32.1</v>
      </c>
    </row>
    <row r="91" spans="1:23" ht="15.75" x14ac:dyDescent="0.25">
      <c r="A91" s="40" t="s">
        <v>86</v>
      </c>
      <c r="B91" s="25"/>
      <c r="C91" s="1" t="s">
        <v>87</v>
      </c>
      <c r="D91" s="24">
        <v>0</v>
      </c>
      <c r="E91" s="24">
        <v>247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-247</v>
      </c>
      <c r="P91" s="24">
        <v>0</v>
      </c>
      <c r="Q91" s="24">
        <v>0</v>
      </c>
      <c r="R91" s="24">
        <v>0</v>
      </c>
      <c r="S91" s="24">
        <v>0</v>
      </c>
      <c r="T91" s="24">
        <v>0</v>
      </c>
      <c r="U91" s="24">
        <v>0</v>
      </c>
      <c r="V91" s="24">
        <v>0</v>
      </c>
      <c r="W91" s="24">
        <v>0</v>
      </c>
    </row>
    <row r="92" spans="1:23" x14ac:dyDescent="0.25">
      <c r="B92" s="21"/>
      <c r="C92" s="17" t="s">
        <v>22</v>
      </c>
      <c r="D92" s="18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20"/>
    </row>
    <row r="93" spans="1:23" ht="16.5" thickBot="1" x14ac:dyDescent="0.3">
      <c r="A93" s="40" t="s">
        <v>67</v>
      </c>
      <c r="B93" s="25"/>
      <c r="C93" s="26" t="s">
        <v>127</v>
      </c>
      <c r="D93" s="24">
        <v>0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0</v>
      </c>
      <c r="Q93" s="24">
        <v>0</v>
      </c>
      <c r="R93" s="24">
        <v>0</v>
      </c>
      <c r="S93" s="24">
        <v>0</v>
      </c>
      <c r="T93" s="24">
        <v>0</v>
      </c>
      <c r="U93" s="24">
        <v>0</v>
      </c>
      <c r="V93" s="24">
        <v>505.2</v>
      </c>
      <c r="W93" s="24">
        <v>0</v>
      </c>
    </row>
    <row r="94" spans="1:23" ht="16.5" thickBot="1" x14ac:dyDescent="0.3">
      <c r="B94" s="25"/>
      <c r="C94" s="27" t="s">
        <v>128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28">
        <v>0</v>
      </c>
      <c r="O94" s="28">
        <v>0</v>
      </c>
      <c r="P94" s="28">
        <v>0</v>
      </c>
      <c r="Q94" s="28">
        <v>0</v>
      </c>
      <c r="R94" s="28">
        <v>0</v>
      </c>
      <c r="S94" s="28">
        <v>0</v>
      </c>
      <c r="T94" s="28">
        <v>0</v>
      </c>
      <c r="U94" s="28">
        <v>0</v>
      </c>
      <c r="V94" s="28">
        <v>505.2</v>
      </c>
      <c r="W94" s="28">
        <v>0</v>
      </c>
    </row>
    <row r="95" spans="1:23" ht="15.75" x14ac:dyDescent="0.25">
      <c r="A95" s="40" t="s">
        <v>62</v>
      </c>
      <c r="B95" s="25"/>
      <c r="C95" s="26" t="s">
        <v>23</v>
      </c>
      <c r="D95" s="24">
        <v>0</v>
      </c>
      <c r="E95" s="24">
        <v>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4">
        <v>184.9</v>
      </c>
      <c r="L95" s="24">
        <v>0</v>
      </c>
      <c r="M95" s="24">
        <v>0</v>
      </c>
      <c r="N95" s="24">
        <v>0</v>
      </c>
      <c r="O95" s="24">
        <v>369.8</v>
      </c>
      <c r="P95" s="24">
        <v>0</v>
      </c>
      <c r="Q95" s="24">
        <v>0</v>
      </c>
      <c r="R95" s="24">
        <v>0</v>
      </c>
      <c r="S95" s="24">
        <v>0</v>
      </c>
      <c r="T95" s="24">
        <v>0</v>
      </c>
      <c r="U95" s="24">
        <v>0</v>
      </c>
      <c r="V95" s="24">
        <v>0</v>
      </c>
      <c r="W95" s="24">
        <v>0</v>
      </c>
    </row>
    <row r="96" spans="1:23" ht="16.5" thickBot="1" x14ac:dyDescent="0.3">
      <c r="A96" s="40" t="s">
        <v>62</v>
      </c>
      <c r="B96" s="25"/>
      <c r="C96" s="26" t="s">
        <v>24</v>
      </c>
      <c r="D96" s="24">
        <v>0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4">
        <v>0</v>
      </c>
      <c r="O96" s="24">
        <v>0</v>
      </c>
      <c r="P96" s="24">
        <v>0</v>
      </c>
      <c r="Q96" s="24">
        <v>0</v>
      </c>
      <c r="R96" s="24">
        <v>0</v>
      </c>
      <c r="S96" s="24">
        <v>0</v>
      </c>
      <c r="T96" s="24">
        <v>0</v>
      </c>
      <c r="U96" s="24">
        <v>0</v>
      </c>
      <c r="V96" s="24">
        <v>369.8</v>
      </c>
      <c r="W96" s="24">
        <v>0</v>
      </c>
    </row>
    <row r="97" spans="1:24" ht="16.5" thickBot="1" x14ac:dyDescent="0.3">
      <c r="B97" s="25"/>
      <c r="C97" s="27" t="s">
        <v>81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184.9</v>
      </c>
      <c r="L97" s="28">
        <v>0</v>
      </c>
      <c r="M97" s="28">
        <v>0</v>
      </c>
      <c r="N97" s="28">
        <v>0</v>
      </c>
      <c r="O97" s="28">
        <v>369.8</v>
      </c>
      <c r="P97" s="28">
        <v>0</v>
      </c>
      <c r="Q97" s="28">
        <v>0</v>
      </c>
      <c r="R97" s="28">
        <v>0</v>
      </c>
      <c r="S97" s="28">
        <v>0</v>
      </c>
      <c r="T97" s="28">
        <v>0</v>
      </c>
      <c r="U97" s="28">
        <v>0</v>
      </c>
      <c r="V97" s="28">
        <v>369.8</v>
      </c>
      <c r="W97" s="28">
        <v>0</v>
      </c>
    </row>
    <row r="98" spans="1:24" ht="15.75" x14ac:dyDescent="0.25">
      <c r="A98" s="40" t="s">
        <v>59</v>
      </c>
      <c r="B98" s="25"/>
      <c r="C98" s="26" t="s">
        <v>26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0</v>
      </c>
      <c r="O98" s="24">
        <v>1039.5999999999999</v>
      </c>
      <c r="P98" s="24">
        <v>0</v>
      </c>
      <c r="Q98" s="24">
        <v>0</v>
      </c>
      <c r="R98" s="24">
        <v>0</v>
      </c>
      <c r="S98" s="24">
        <v>0</v>
      </c>
      <c r="T98" s="24">
        <v>0</v>
      </c>
      <c r="U98" s="24">
        <v>0</v>
      </c>
      <c r="V98" s="24">
        <v>0</v>
      </c>
      <c r="W98" s="24">
        <v>0</v>
      </c>
    </row>
    <row r="99" spans="1:24" ht="15.75" x14ac:dyDescent="0.25">
      <c r="A99" s="40" t="s">
        <v>59</v>
      </c>
      <c r="B99" s="25"/>
      <c r="C99" s="26" t="s">
        <v>99</v>
      </c>
      <c r="D99" s="24">
        <v>0</v>
      </c>
      <c r="E99" s="24">
        <v>0</v>
      </c>
      <c r="F99" s="24">
        <v>0</v>
      </c>
      <c r="G99" s="24">
        <v>0</v>
      </c>
      <c r="H99" s="24">
        <v>69.2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4">
        <v>0</v>
      </c>
      <c r="O99" s="24">
        <v>0</v>
      </c>
      <c r="P99" s="24">
        <v>0</v>
      </c>
      <c r="Q99" s="24">
        <v>0</v>
      </c>
      <c r="R99" s="24">
        <v>0</v>
      </c>
      <c r="S99" s="24">
        <v>0</v>
      </c>
      <c r="T99" s="24">
        <v>0</v>
      </c>
      <c r="U99" s="24">
        <v>0</v>
      </c>
      <c r="V99" s="24">
        <v>0</v>
      </c>
      <c r="W99" s="24">
        <v>0</v>
      </c>
    </row>
    <row r="100" spans="1:24" ht="15.75" x14ac:dyDescent="0.25">
      <c r="A100" s="40" t="s">
        <v>59</v>
      </c>
      <c r="B100" s="25"/>
      <c r="C100" s="26" t="s">
        <v>27</v>
      </c>
      <c r="D100" s="24">
        <v>0</v>
      </c>
      <c r="E100" s="24">
        <v>0</v>
      </c>
      <c r="F100" s="24">
        <v>0</v>
      </c>
      <c r="G100" s="24">
        <v>0</v>
      </c>
      <c r="H100" s="24">
        <v>0</v>
      </c>
      <c r="I100" s="24">
        <v>1920</v>
      </c>
      <c r="J100" s="24">
        <v>0</v>
      </c>
      <c r="K100" s="24">
        <v>0</v>
      </c>
      <c r="L100" s="24">
        <v>0</v>
      </c>
      <c r="M100" s="24">
        <v>0</v>
      </c>
      <c r="N100" s="24">
        <v>0</v>
      </c>
      <c r="O100" s="24">
        <v>0</v>
      </c>
      <c r="P100" s="24">
        <v>0</v>
      </c>
      <c r="Q100" s="24">
        <v>0</v>
      </c>
      <c r="R100" s="24">
        <v>0</v>
      </c>
      <c r="S100" s="24">
        <v>0</v>
      </c>
      <c r="T100" s="24">
        <v>0</v>
      </c>
      <c r="U100" s="24">
        <v>0</v>
      </c>
      <c r="V100" s="24">
        <v>0</v>
      </c>
      <c r="W100" s="24">
        <v>0</v>
      </c>
    </row>
    <row r="101" spans="1:24" ht="16.5" thickBot="1" x14ac:dyDescent="0.3">
      <c r="A101" s="40" t="s">
        <v>68</v>
      </c>
      <c r="B101" s="25"/>
      <c r="C101" s="26" t="s">
        <v>182</v>
      </c>
      <c r="D101" s="24">
        <v>0</v>
      </c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24">
        <v>0</v>
      </c>
      <c r="O101" s="24">
        <v>0</v>
      </c>
      <c r="P101" s="24">
        <v>0</v>
      </c>
      <c r="Q101" s="24">
        <v>60.4</v>
      </c>
      <c r="R101" s="24">
        <v>0</v>
      </c>
      <c r="S101" s="24">
        <v>0</v>
      </c>
      <c r="T101" s="24">
        <v>0</v>
      </c>
      <c r="U101" s="24">
        <v>0</v>
      </c>
      <c r="V101" s="24">
        <v>0</v>
      </c>
      <c r="W101" s="24">
        <v>0</v>
      </c>
    </row>
    <row r="102" spans="1:24" ht="16.5" thickBot="1" x14ac:dyDescent="0.3">
      <c r="B102" s="25"/>
      <c r="C102" s="27" t="s">
        <v>28</v>
      </c>
      <c r="D102" s="28">
        <v>0</v>
      </c>
      <c r="E102" s="28">
        <v>0</v>
      </c>
      <c r="F102" s="28">
        <v>0</v>
      </c>
      <c r="G102" s="28">
        <v>0</v>
      </c>
      <c r="H102" s="28">
        <v>69.2</v>
      </c>
      <c r="I102" s="28">
        <v>1920</v>
      </c>
      <c r="J102" s="28">
        <v>0</v>
      </c>
      <c r="K102" s="28">
        <v>0</v>
      </c>
      <c r="L102" s="28">
        <v>0</v>
      </c>
      <c r="M102" s="28">
        <v>0</v>
      </c>
      <c r="N102" s="28">
        <v>0</v>
      </c>
      <c r="O102" s="28">
        <v>1039.5999999999999</v>
      </c>
      <c r="P102" s="28">
        <v>0</v>
      </c>
      <c r="Q102" s="28">
        <v>60.4</v>
      </c>
      <c r="R102" s="28">
        <v>0</v>
      </c>
      <c r="S102" s="28">
        <v>0</v>
      </c>
      <c r="T102" s="28">
        <v>0</v>
      </c>
      <c r="U102" s="28">
        <v>0</v>
      </c>
      <c r="V102" s="28">
        <v>0</v>
      </c>
      <c r="W102" s="28">
        <v>0</v>
      </c>
    </row>
    <row r="103" spans="1:24" ht="15.75" x14ac:dyDescent="0.25">
      <c r="A103" s="40" t="s">
        <v>65</v>
      </c>
      <c r="B103" s="25"/>
      <c r="C103" s="29" t="s">
        <v>100</v>
      </c>
      <c r="D103" s="24">
        <v>0</v>
      </c>
      <c r="E103" s="24">
        <v>0</v>
      </c>
      <c r="F103" s="24">
        <v>0</v>
      </c>
      <c r="G103" s="24">
        <v>0</v>
      </c>
      <c r="H103" s="24">
        <v>0</v>
      </c>
      <c r="I103" s="24">
        <v>230.8</v>
      </c>
      <c r="J103" s="24">
        <v>0</v>
      </c>
      <c r="K103" s="24">
        <v>0</v>
      </c>
      <c r="L103" s="24">
        <v>0</v>
      </c>
      <c r="M103" s="24">
        <v>0</v>
      </c>
      <c r="N103" s="24">
        <v>0</v>
      </c>
      <c r="O103" s="24">
        <v>500</v>
      </c>
      <c r="P103" s="24">
        <v>0</v>
      </c>
      <c r="Q103" s="24">
        <v>0</v>
      </c>
      <c r="R103" s="24">
        <v>0</v>
      </c>
      <c r="S103" s="24">
        <v>0</v>
      </c>
      <c r="T103" s="24">
        <v>0</v>
      </c>
      <c r="U103" s="24">
        <v>0</v>
      </c>
      <c r="V103" s="24">
        <v>0</v>
      </c>
      <c r="W103" s="24">
        <v>0</v>
      </c>
    </row>
    <row r="104" spans="1:24" ht="15.75" x14ac:dyDescent="0.25">
      <c r="A104" s="40" t="s">
        <v>65</v>
      </c>
      <c r="B104" s="25"/>
      <c r="C104" s="29" t="s">
        <v>29</v>
      </c>
      <c r="D104" s="24">
        <v>0</v>
      </c>
      <c r="E104" s="24">
        <v>0</v>
      </c>
      <c r="F104" s="24">
        <v>0</v>
      </c>
      <c r="G104" s="24">
        <v>0</v>
      </c>
      <c r="H104" s="24">
        <v>0</v>
      </c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24">
        <v>0</v>
      </c>
      <c r="O104" s="24">
        <v>0</v>
      </c>
      <c r="P104" s="24">
        <v>0</v>
      </c>
      <c r="Q104" s="24">
        <v>0</v>
      </c>
      <c r="R104" s="24">
        <v>0</v>
      </c>
      <c r="S104" s="24">
        <v>0</v>
      </c>
      <c r="T104" s="24">
        <v>0</v>
      </c>
      <c r="U104" s="24">
        <v>0</v>
      </c>
      <c r="V104" s="24">
        <v>909</v>
      </c>
      <c r="W104" s="24">
        <v>0</v>
      </c>
      <c r="X104" s="46">
        <f>V104*0.25</f>
        <v>227.25</v>
      </c>
    </row>
    <row r="105" spans="1:24" ht="16.5" thickBot="1" x14ac:dyDescent="0.3">
      <c r="A105" s="40" t="s">
        <v>65</v>
      </c>
      <c r="B105" s="25"/>
      <c r="C105" s="29" t="s">
        <v>101</v>
      </c>
      <c r="D105" s="24">
        <v>0</v>
      </c>
      <c r="E105" s="24">
        <v>0</v>
      </c>
      <c r="F105" s="24">
        <v>159.19999999999999</v>
      </c>
      <c r="G105" s="24">
        <v>63.8</v>
      </c>
      <c r="H105" s="24">
        <v>3.4</v>
      </c>
      <c r="I105" s="24">
        <v>673.6</v>
      </c>
      <c r="J105" s="24">
        <v>0</v>
      </c>
      <c r="K105" s="24">
        <v>0</v>
      </c>
      <c r="L105" s="24">
        <v>0</v>
      </c>
      <c r="M105" s="24">
        <v>0</v>
      </c>
      <c r="N105" s="24">
        <v>0</v>
      </c>
      <c r="O105" s="24">
        <v>0</v>
      </c>
      <c r="P105" s="24">
        <v>0</v>
      </c>
      <c r="Q105" s="24">
        <v>0</v>
      </c>
      <c r="R105" s="24">
        <v>0</v>
      </c>
      <c r="S105" s="24">
        <v>0</v>
      </c>
      <c r="T105" s="24">
        <v>0</v>
      </c>
      <c r="U105" s="24">
        <v>0</v>
      </c>
      <c r="V105" s="24">
        <v>0</v>
      </c>
      <c r="W105" s="24">
        <v>0</v>
      </c>
    </row>
    <row r="106" spans="1:24" ht="16.5" thickBot="1" x14ac:dyDescent="0.3">
      <c r="B106" s="25"/>
      <c r="C106" s="27" t="s">
        <v>30</v>
      </c>
      <c r="D106" s="28">
        <v>0</v>
      </c>
      <c r="E106" s="28">
        <v>0</v>
      </c>
      <c r="F106" s="28">
        <v>159.19999999999999</v>
      </c>
      <c r="G106" s="28">
        <v>63.8</v>
      </c>
      <c r="H106" s="28">
        <v>3.4</v>
      </c>
      <c r="I106" s="28">
        <v>904.40000000000009</v>
      </c>
      <c r="J106" s="28">
        <v>0</v>
      </c>
      <c r="K106" s="28">
        <v>0</v>
      </c>
      <c r="L106" s="28">
        <v>0</v>
      </c>
      <c r="M106" s="28">
        <v>0</v>
      </c>
      <c r="N106" s="28">
        <v>0</v>
      </c>
      <c r="O106" s="28">
        <v>500</v>
      </c>
      <c r="P106" s="28">
        <v>0</v>
      </c>
      <c r="Q106" s="28">
        <v>0</v>
      </c>
      <c r="R106" s="28">
        <v>0</v>
      </c>
      <c r="S106" s="28">
        <v>0</v>
      </c>
      <c r="T106" s="28">
        <v>0</v>
      </c>
      <c r="U106" s="28">
        <v>0</v>
      </c>
      <c r="V106" s="28">
        <v>909</v>
      </c>
      <c r="W106" s="28">
        <v>0</v>
      </c>
    </row>
    <row r="107" spans="1:24" ht="15.75" x14ac:dyDescent="0.25">
      <c r="A107" s="40" t="s">
        <v>63</v>
      </c>
      <c r="B107" s="25"/>
      <c r="C107" s="29" t="s">
        <v>31</v>
      </c>
      <c r="D107" s="30">
        <v>0</v>
      </c>
      <c r="E107" s="30">
        <v>0</v>
      </c>
      <c r="F107" s="30">
        <v>0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5.1520000000000001</v>
      </c>
      <c r="R107" s="30">
        <v>0</v>
      </c>
      <c r="S107" s="30">
        <v>0</v>
      </c>
      <c r="T107" s="30">
        <v>0</v>
      </c>
      <c r="U107" s="30">
        <v>3.6539999999999999</v>
      </c>
      <c r="V107" s="30">
        <v>0</v>
      </c>
      <c r="W107" s="30">
        <v>1.7889999999999999</v>
      </c>
    </row>
    <row r="108" spans="1:24" ht="15.75" x14ac:dyDescent="0.25">
      <c r="A108" s="40" t="s">
        <v>63</v>
      </c>
      <c r="B108" s="25"/>
      <c r="C108" s="29" t="s">
        <v>32</v>
      </c>
      <c r="D108" s="31">
        <v>4.0599999999999996</v>
      </c>
      <c r="E108" s="31">
        <v>0</v>
      </c>
      <c r="F108" s="31">
        <v>7.0039999999999996</v>
      </c>
      <c r="G108" s="31">
        <v>0</v>
      </c>
      <c r="H108" s="31">
        <v>9.8580000000000005</v>
      </c>
      <c r="I108" s="31">
        <v>0</v>
      </c>
      <c r="J108" s="31">
        <v>0</v>
      </c>
      <c r="K108" s="31">
        <v>7.1660000000000004</v>
      </c>
      <c r="L108" s="31">
        <v>0</v>
      </c>
      <c r="M108" s="31">
        <v>0</v>
      </c>
      <c r="N108" s="31">
        <v>6.6929999999999996</v>
      </c>
      <c r="O108" s="31">
        <v>0</v>
      </c>
      <c r="P108" s="31">
        <v>0</v>
      </c>
      <c r="Q108" s="31">
        <v>6.843</v>
      </c>
      <c r="R108" s="31">
        <v>0</v>
      </c>
      <c r="S108" s="31">
        <v>0</v>
      </c>
      <c r="T108" s="31">
        <v>7.008</v>
      </c>
      <c r="U108" s="31">
        <v>0</v>
      </c>
      <c r="V108" s="31">
        <v>0</v>
      </c>
      <c r="W108" s="31">
        <v>7.2370000000000001</v>
      </c>
    </row>
    <row r="109" spans="1:24" ht="15.75" x14ac:dyDescent="0.25">
      <c r="A109" s="40" t="s">
        <v>63</v>
      </c>
      <c r="B109" s="25"/>
      <c r="C109" s="29" t="s">
        <v>33</v>
      </c>
      <c r="D109" s="30">
        <v>0</v>
      </c>
      <c r="E109" s="30">
        <v>0</v>
      </c>
      <c r="F109" s="30"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76.707999999999998</v>
      </c>
    </row>
    <row r="110" spans="1:24" ht="15.75" x14ac:dyDescent="0.25">
      <c r="A110" s="40" t="s">
        <v>63</v>
      </c>
      <c r="B110" s="25"/>
      <c r="C110" s="29" t="s">
        <v>34</v>
      </c>
      <c r="D110" s="30">
        <v>0</v>
      </c>
      <c r="E110" s="30">
        <v>0</v>
      </c>
      <c r="F110" s="30">
        <v>0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30">
        <v>0</v>
      </c>
      <c r="N110" s="30">
        <v>0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30">
        <v>0</v>
      </c>
      <c r="U110" s="30">
        <v>0</v>
      </c>
      <c r="V110" s="30">
        <v>0</v>
      </c>
      <c r="W110" s="30">
        <v>1.927</v>
      </c>
    </row>
    <row r="111" spans="1:24" ht="15.75" x14ac:dyDescent="0.25">
      <c r="A111" s="40" t="s">
        <v>63</v>
      </c>
      <c r="B111" s="25"/>
      <c r="C111" s="29" t="s">
        <v>35</v>
      </c>
      <c r="D111" s="30">
        <v>0</v>
      </c>
      <c r="E111" s="30">
        <v>0</v>
      </c>
      <c r="F111" s="30">
        <v>0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116.655</v>
      </c>
      <c r="O111" s="30">
        <v>8.2140000000000004</v>
      </c>
      <c r="P111" s="30">
        <v>0</v>
      </c>
      <c r="Q111" s="30">
        <v>0</v>
      </c>
      <c r="R111" s="30">
        <v>0</v>
      </c>
      <c r="S111" s="30">
        <v>0</v>
      </c>
      <c r="T111" s="30">
        <v>8.3350000000000009</v>
      </c>
      <c r="U111" s="30">
        <v>0</v>
      </c>
      <c r="V111" s="30">
        <v>0</v>
      </c>
      <c r="W111" s="30">
        <v>5.1180000000000003</v>
      </c>
    </row>
    <row r="112" spans="1:24" ht="15.75" x14ac:dyDescent="0.25">
      <c r="A112" s="40" t="s">
        <v>63</v>
      </c>
      <c r="B112" s="25"/>
      <c r="C112" s="29" t="s">
        <v>36</v>
      </c>
      <c r="D112" s="30">
        <v>0</v>
      </c>
      <c r="E112" s="30">
        <v>0</v>
      </c>
      <c r="F112" s="30">
        <v>0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5.2249999999999996</v>
      </c>
    </row>
    <row r="113" spans="1:23" ht="15.75" x14ac:dyDescent="0.25">
      <c r="A113" s="40" t="s">
        <v>63</v>
      </c>
      <c r="B113" s="25"/>
      <c r="C113" s="29" t="s">
        <v>37</v>
      </c>
      <c r="D113" s="30">
        <v>0</v>
      </c>
      <c r="E113" s="30">
        <v>0</v>
      </c>
      <c r="F113" s="30">
        <v>0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37.33</v>
      </c>
    </row>
    <row r="114" spans="1:23" ht="15.75" x14ac:dyDescent="0.25">
      <c r="A114" s="40" t="s">
        <v>63</v>
      </c>
      <c r="B114" s="25"/>
      <c r="C114" s="29" t="s">
        <v>38</v>
      </c>
      <c r="D114" s="30">
        <v>0</v>
      </c>
      <c r="E114" s="30">
        <v>0</v>
      </c>
      <c r="F114" s="30">
        <v>0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1.7569999999999999</v>
      </c>
      <c r="W114" s="30">
        <v>0</v>
      </c>
    </row>
    <row r="115" spans="1:23" ht="15.75" x14ac:dyDescent="0.25">
      <c r="A115" s="40" t="s">
        <v>63</v>
      </c>
      <c r="B115" s="25"/>
      <c r="C115" s="29" t="s">
        <v>39</v>
      </c>
      <c r="D115" s="30">
        <v>0</v>
      </c>
      <c r="E115" s="30">
        <v>0</v>
      </c>
      <c r="F115" s="30">
        <v>0</v>
      </c>
      <c r="G115" s="30">
        <v>0</v>
      </c>
      <c r="H115" s="30">
        <v>0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5.4930000000000003</v>
      </c>
      <c r="W115" s="30">
        <v>1.212</v>
      </c>
    </row>
    <row r="116" spans="1:23" ht="15.75" x14ac:dyDescent="0.25">
      <c r="A116" s="40" t="s">
        <v>63</v>
      </c>
      <c r="B116" s="25"/>
      <c r="C116" s="29" t="s">
        <v>40</v>
      </c>
      <c r="D116" s="30">
        <v>0</v>
      </c>
      <c r="E116" s="30">
        <v>0</v>
      </c>
      <c r="F116" s="30">
        <v>0</v>
      </c>
      <c r="G116" s="30">
        <v>0</v>
      </c>
      <c r="H116" s="30">
        <v>8.2520000000000007</v>
      </c>
      <c r="I116" s="30">
        <v>0</v>
      </c>
      <c r="J116" s="30">
        <v>5.2530000000000001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3.2410000000000001</v>
      </c>
      <c r="W116" s="30">
        <v>0</v>
      </c>
    </row>
    <row r="117" spans="1:23" ht="16.5" thickBot="1" x14ac:dyDescent="0.3">
      <c r="A117" s="40" t="s">
        <v>63</v>
      </c>
      <c r="B117" s="25"/>
      <c r="C117" s="29" t="s">
        <v>41</v>
      </c>
      <c r="D117" s="30">
        <v>0</v>
      </c>
      <c r="E117" s="30">
        <v>0</v>
      </c>
      <c r="F117" s="30">
        <v>0</v>
      </c>
      <c r="G117" s="30">
        <v>0</v>
      </c>
      <c r="H117" s="30">
        <v>0</v>
      </c>
      <c r="I117" s="30">
        <v>0</v>
      </c>
      <c r="J117" s="30">
        <v>2.9580000000000002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</row>
    <row r="118" spans="1:23" ht="16.5" thickBot="1" x14ac:dyDescent="0.3">
      <c r="B118" s="25"/>
      <c r="C118" s="27" t="s">
        <v>42</v>
      </c>
      <c r="D118" s="32">
        <v>4.0599999999999996</v>
      </c>
      <c r="E118" s="32">
        <v>0</v>
      </c>
      <c r="F118" s="32">
        <v>7.0039999999999996</v>
      </c>
      <c r="G118" s="32">
        <v>0</v>
      </c>
      <c r="H118" s="32">
        <v>18.11</v>
      </c>
      <c r="I118" s="32">
        <v>0</v>
      </c>
      <c r="J118" s="32">
        <v>8.2110000000000003</v>
      </c>
      <c r="K118" s="32">
        <v>7.1660000000000004</v>
      </c>
      <c r="L118" s="32">
        <v>0</v>
      </c>
      <c r="M118" s="32">
        <v>0</v>
      </c>
      <c r="N118" s="32">
        <v>123.348</v>
      </c>
      <c r="O118" s="32">
        <v>8.2140000000000004</v>
      </c>
      <c r="P118" s="32">
        <v>0</v>
      </c>
      <c r="Q118" s="32">
        <v>11.995000000000001</v>
      </c>
      <c r="R118" s="32">
        <v>0</v>
      </c>
      <c r="S118" s="32">
        <v>0</v>
      </c>
      <c r="T118" s="32">
        <v>15.343</v>
      </c>
      <c r="U118" s="32">
        <v>3.6539999999999999</v>
      </c>
      <c r="V118" s="32">
        <v>10.491</v>
      </c>
      <c r="W118" s="32">
        <v>136.54599999999999</v>
      </c>
    </row>
    <row r="119" spans="1:23" ht="15.75" x14ac:dyDescent="0.25">
      <c r="A119" s="40" t="s">
        <v>64</v>
      </c>
      <c r="B119" s="25"/>
      <c r="C119" s="18" t="s">
        <v>43</v>
      </c>
      <c r="D119" s="24">
        <v>6</v>
      </c>
      <c r="E119" s="24">
        <v>6.2000000000000011</v>
      </c>
      <c r="F119" s="24">
        <v>6.32</v>
      </c>
      <c r="G119" s="24">
        <v>6.6</v>
      </c>
      <c r="H119" s="24">
        <v>7.48</v>
      </c>
      <c r="I119" s="24">
        <v>7.3599999999999994</v>
      </c>
      <c r="J119" s="24">
        <v>7.3000000000000007</v>
      </c>
      <c r="K119" s="24">
        <v>7.39</v>
      </c>
      <c r="L119" s="24">
        <v>7.25</v>
      </c>
      <c r="M119" s="24">
        <v>7.09</v>
      </c>
      <c r="N119" s="24">
        <v>6.8200000000000012</v>
      </c>
      <c r="O119" s="24">
        <v>6.39</v>
      </c>
      <c r="P119" s="24">
        <v>6.1</v>
      </c>
      <c r="Q119" s="24">
        <v>6.0500000000000007</v>
      </c>
      <c r="R119" s="24">
        <v>5.48</v>
      </c>
      <c r="S119" s="24">
        <v>4.42</v>
      </c>
      <c r="T119" s="24">
        <v>4.0200000000000005</v>
      </c>
      <c r="U119" s="24">
        <v>3.2700000000000005</v>
      </c>
      <c r="V119" s="24">
        <v>2.7800000000000002</v>
      </c>
      <c r="W119" s="24">
        <v>2.89</v>
      </c>
    </row>
    <row r="120" spans="1:23" ht="15.75" x14ac:dyDescent="0.25">
      <c r="A120" s="40" t="s">
        <v>64</v>
      </c>
      <c r="B120" s="25"/>
      <c r="C120" s="18" t="s">
        <v>44</v>
      </c>
      <c r="D120" s="24">
        <v>58</v>
      </c>
      <c r="E120" s="24">
        <v>67.100000000000009</v>
      </c>
      <c r="F120" s="24">
        <v>67.2</v>
      </c>
      <c r="G120" s="24">
        <v>67.5</v>
      </c>
      <c r="H120" s="24">
        <v>68.800000000000011</v>
      </c>
      <c r="I120" s="24">
        <v>68.2</v>
      </c>
      <c r="J120" s="24">
        <v>67.100000000000009</v>
      </c>
      <c r="K120" s="24">
        <v>64.600000000000009</v>
      </c>
      <c r="L120" s="24">
        <v>64.800000000000011</v>
      </c>
      <c r="M120" s="24">
        <v>62.300000000000004</v>
      </c>
      <c r="N120" s="24">
        <v>57</v>
      </c>
      <c r="O120" s="24">
        <v>55.800000000000004</v>
      </c>
      <c r="P120" s="24">
        <v>52.300000000000004</v>
      </c>
      <c r="Q120" s="24">
        <v>51.7</v>
      </c>
      <c r="R120" s="24">
        <v>48</v>
      </c>
      <c r="S120" s="24">
        <v>35.9</v>
      </c>
      <c r="T120" s="24">
        <v>32.4</v>
      </c>
      <c r="U120" s="24">
        <v>24.6</v>
      </c>
      <c r="V120" s="24">
        <v>21.599999999999998</v>
      </c>
      <c r="W120" s="24">
        <v>23.400000000000002</v>
      </c>
    </row>
    <row r="121" spans="1:23" ht="16.5" thickBot="1" x14ac:dyDescent="0.3">
      <c r="A121" s="40" t="s">
        <v>64</v>
      </c>
      <c r="B121" s="25"/>
      <c r="C121" s="18" t="s">
        <v>45</v>
      </c>
      <c r="D121" s="24">
        <v>10</v>
      </c>
      <c r="E121" s="24">
        <v>10.17</v>
      </c>
      <c r="F121" s="24">
        <v>10.990000000000002</v>
      </c>
      <c r="G121" s="24">
        <v>13.86</v>
      </c>
      <c r="H121" s="24">
        <v>15.380000000000003</v>
      </c>
      <c r="I121" s="24">
        <v>16.16</v>
      </c>
      <c r="J121" s="24">
        <v>16.47</v>
      </c>
      <c r="K121" s="24">
        <v>17.7</v>
      </c>
      <c r="L121" s="24">
        <v>17.61</v>
      </c>
      <c r="M121" s="24">
        <v>17.39</v>
      </c>
      <c r="N121" s="24">
        <v>16.12</v>
      </c>
      <c r="O121" s="24">
        <v>14.82</v>
      </c>
      <c r="P121" s="24">
        <v>13.13</v>
      </c>
      <c r="Q121" s="24">
        <v>12.290000000000001</v>
      </c>
      <c r="R121" s="24">
        <v>11.110000000000001</v>
      </c>
      <c r="S121" s="24">
        <v>8.7899999999999991</v>
      </c>
      <c r="T121" s="24">
        <v>8.35</v>
      </c>
      <c r="U121" s="24">
        <v>6.9200000000000008</v>
      </c>
      <c r="V121" s="24">
        <v>5.19</v>
      </c>
      <c r="W121" s="24">
        <v>5.33</v>
      </c>
    </row>
    <row r="122" spans="1:23" ht="16.5" thickBot="1" x14ac:dyDescent="0.3">
      <c r="B122" s="25"/>
      <c r="C122" s="27" t="s">
        <v>46</v>
      </c>
      <c r="D122" s="28">
        <v>74</v>
      </c>
      <c r="E122" s="28">
        <v>83.470000000000013</v>
      </c>
      <c r="F122" s="28">
        <v>84.510000000000019</v>
      </c>
      <c r="G122" s="28">
        <v>87.96</v>
      </c>
      <c r="H122" s="28">
        <v>91.660000000000025</v>
      </c>
      <c r="I122" s="28">
        <v>91.72</v>
      </c>
      <c r="J122" s="28">
        <v>90.87</v>
      </c>
      <c r="K122" s="28">
        <v>89.690000000000012</v>
      </c>
      <c r="L122" s="28">
        <v>89.660000000000011</v>
      </c>
      <c r="M122" s="28">
        <v>86.78</v>
      </c>
      <c r="N122" s="28">
        <v>79.94</v>
      </c>
      <c r="O122" s="28">
        <v>77.010000000000005</v>
      </c>
      <c r="P122" s="28">
        <v>71.53</v>
      </c>
      <c r="Q122" s="28">
        <v>70.040000000000006</v>
      </c>
      <c r="R122" s="28">
        <v>64.59</v>
      </c>
      <c r="S122" s="28">
        <v>49.11</v>
      </c>
      <c r="T122" s="28">
        <v>44.77</v>
      </c>
      <c r="U122" s="28">
        <v>34.79</v>
      </c>
      <c r="V122" s="28">
        <v>29.57</v>
      </c>
      <c r="W122" s="28">
        <v>31.620000000000005</v>
      </c>
    </row>
    <row r="123" spans="1:23" ht="15.75" x14ac:dyDescent="0.25">
      <c r="A123" s="40" t="s">
        <v>72</v>
      </c>
      <c r="B123" s="25"/>
      <c r="C123" s="33" t="s">
        <v>102</v>
      </c>
      <c r="D123" s="30">
        <v>0</v>
      </c>
      <c r="E123" s="30">
        <v>0</v>
      </c>
      <c r="F123" s="30">
        <v>0</v>
      </c>
      <c r="G123" s="30">
        <v>0</v>
      </c>
      <c r="H123" s="30">
        <v>0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30">
        <v>0</v>
      </c>
      <c r="W123" s="24">
        <v>195</v>
      </c>
    </row>
    <row r="124" spans="1:23" ht="15.75" x14ac:dyDescent="0.25">
      <c r="A124" s="40" t="s">
        <v>72</v>
      </c>
      <c r="B124" s="25"/>
      <c r="C124" s="33" t="s">
        <v>103</v>
      </c>
      <c r="D124" s="30">
        <v>0</v>
      </c>
      <c r="E124" s="30">
        <v>0</v>
      </c>
      <c r="F124" s="30">
        <v>0</v>
      </c>
      <c r="G124" s="30">
        <v>0</v>
      </c>
      <c r="H124" s="30">
        <v>0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15</v>
      </c>
    </row>
    <row r="125" spans="1:23" ht="15.75" x14ac:dyDescent="0.25">
      <c r="A125" s="40" t="s">
        <v>72</v>
      </c>
      <c r="B125" s="25"/>
      <c r="C125" s="33" t="s">
        <v>104</v>
      </c>
      <c r="D125" s="30">
        <v>0</v>
      </c>
      <c r="E125" s="30">
        <v>0</v>
      </c>
      <c r="F125" s="30">
        <v>0</v>
      </c>
      <c r="G125" s="30">
        <v>0</v>
      </c>
      <c r="H125" s="30">
        <v>0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30">
        <v>0</v>
      </c>
      <c r="P125" s="30">
        <v>30</v>
      </c>
      <c r="Q125" s="30">
        <v>0</v>
      </c>
      <c r="R125" s="30">
        <v>0</v>
      </c>
      <c r="S125" s="30">
        <v>0</v>
      </c>
      <c r="T125" s="30">
        <v>0</v>
      </c>
      <c r="U125" s="30">
        <v>0</v>
      </c>
      <c r="V125" s="30">
        <v>0</v>
      </c>
      <c r="W125" s="30">
        <v>150</v>
      </c>
    </row>
    <row r="126" spans="1:23" ht="15.75" x14ac:dyDescent="0.25">
      <c r="A126" s="40" t="s">
        <v>66</v>
      </c>
      <c r="B126" s="34"/>
      <c r="C126" s="1" t="s">
        <v>47</v>
      </c>
      <c r="D126" s="24">
        <v>0</v>
      </c>
      <c r="E126" s="24">
        <v>0</v>
      </c>
      <c r="F126" s="24">
        <v>0</v>
      </c>
      <c r="G126" s="24">
        <v>0</v>
      </c>
      <c r="H126" s="24">
        <v>0</v>
      </c>
      <c r="I126" s="24">
        <v>0</v>
      </c>
      <c r="J126" s="24">
        <v>0</v>
      </c>
      <c r="K126" s="24">
        <v>0</v>
      </c>
      <c r="L126" s="24">
        <v>0</v>
      </c>
      <c r="M126" s="24">
        <v>87.54</v>
      </c>
      <c r="N126" s="24">
        <v>300</v>
      </c>
      <c r="O126" s="24">
        <v>198.63</v>
      </c>
      <c r="P126" s="24">
        <v>173.79</v>
      </c>
      <c r="Q126" s="24">
        <v>206.31</v>
      </c>
      <c r="R126" s="24">
        <v>297.69</v>
      </c>
      <c r="S126" s="24">
        <v>300</v>
      </c>
      <c r="T126" s="24">
        <v>300</v>
      </c>
      <c r="U126" s="24">
        <v>300</v>
      </c>
      <c r="V126" s="24">
        <v>300</v>
      </c>
      <c r="W126" s="24">
        <v>300</v>
      </c>
    </row>
    <row r="127" spans="1:23" x14ac:dyDescent="0.25">
      <c r="B127" s="16" t="s">
        <v>48</v>
      </c>
      <c r="C127" s="17" t="s">
        <v>2</v>
      </c>
      <c r="D127" s="18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20"/>
    </row>
    <row r="128" spans="1:23" ht="15.75" x14ac:dyDescent="0.25">
      <c r="A128" s="40" t="s">
        <v>73</v>
      </c>
      <c r="B128" s="21"/>
      <c r="C128" s="22" t="s">
        <v>91</v>
      </c>
      <c r="D128" s="23">
        <v>0</v>
      </c>
      <c r="E128" s="23">
        <v>0</v>
      </c>
      <c r="F128" s="23">
        <v>0</v>
      </c>
      <c r="G128" s="23">
        <v>0</v>
      </c>
      <c r="H128" s="23">
        <v>0</v>
      </c>
      <c r="I128" s="23">
        <v>-350.5</v>
      </c>
      <c r="J128" s="23">
        <v>0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23">
        <v>0</v>
      </c>
      <c r="Q128" s="23">
        <v>0</v>
      </c>
      <c r="R128" s="23">
        <v>0</v>
      </c>
      <c r="S128" s="23">
        <v>0</v>
      </c>
      <c r="T128" s="23">
        <v>0</v>
      </c>
      <c r="U128" s="23">
        <v>0</v>
      </c>
      <c r="V128" s="23">
        <v>0</v>
      </c>
      <c r="W128" s="23">
        <v>0</v>
      </c>
    </row>
    <row r="129" spans="1:25" ht="15.75" x14ac:dyDescent="0.25">
      <c r="A129" s="40" t="s">
        <v>73</v>
      </c>
      <c r="B129" s="21"/>
      <c r="C129" s="22" t="s">
        <v>92</v>
      </c>
      <c r="D129" s="23">
        <v>0</v>
      </c>
      <c r="E129" s="23">
        <v>0</v>
      </c>
      <c r="F129" s="23">
        <v>0</v>
      </c>
      <c r="G129" s="23">
        <v>0</v>
      </c>
      <c r="H129" s="23">
        <v>0</v>
      </c>
      <c r="I129" s="23">
        <v>0</v>
      </c>
      <c r="J129" s="23">
        <v>0</v>
      </c>
      <c r="K129" s="23">
        <v>0</v>
      </c>
      <c r="L129" s="23">
        <v>0</v>
      </c>
      <c r="M129" s="23">
        <v>0</v>
      </c>
      <c r="N129" s="23">
        <v>-355.8</v>
      </c>
      <c r="O129" s="23">
        <v>0</v>
      </c>
      <c r="P129" s="23">
        <v>0</v>
      </c>
      <c r="Q129" s="23">
        <v>0</v>
      </c>
      <c r="R129" s="23">
        <v>0</v>
      </c>
      <c r="S129" s="23">
        <v>0</v>
      </c>
      <c r="T129" s="23">
        <v>0</v>
      </c>
      <c r="U129" s="23">
        <v>0</v>
      </c>
      <c r="V129" s="23">
        <v>0</v>
      </c>
      <c r="W129" s="23">
        <v>0</v>
      </c>
    </row>
    <row r="130" spans="1:25" ht="15.75" x14ac:dyDescent="0.25">
      <c r="A130" s="40" t="s">
        <v>73</v>
      </c>
      <c r="B130" s="21"/>
      <c r="C130" s="22" t="s">
        <v>172</v>
      </c>
      <c r="D130" s="23">
        <v>0</v>
      </c>
      <c r="E130" s="23">
        <v>0</v>
      </c>
      <c r="F130" s="23">
        <v>0</v>
      </c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23">
        <v>0</v>
      </c>
      <c r="Q130" s="23">
        <v>0</v>
      </c>
      <c r="R130" s="23">
        <v>0</v>
      </c>
      <c r="S130" s="23">
        <v>0</v>
      </c>
      <c r="T130" s="23">
        <v>0</v>
      </c>
      <c r="U130" s="23">
        <v>0</v>
      </c>
      <c r="V130" s="23">
        <v>0</v>
      </c>
      <c r="W130" s="23">
        <v>-348.7</v>
      </c>
    </row>
    <row r="131" spans="1:25" ht="15.75" x14ac:dyDescent="0.25">
      <c r="A131" s="40" t="s">
        <v>73</v>
      </c>
      <c r="B131" s="21"/>
      <c r="C131" s="22" t="s">
        <v>173</v>
      </c>
      <c r="D131" s="23">
        <v>0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23">
        <v>0</v>
      </c>
      <c r="Q131" s="23">
        <v>0</v>
      </c>
      <c r="R131" s="23">
        <v>0</v>
      </c>
      <c r="S131" s="23">
        <v>0</v>
      </c>
      <c r="T131" s="23">
        <v>0</v>
      </c>
      <c r="U131" s="23">
        <v>0</v>
      </c>
      <c r="V131" s="23">
        <v>0</v>
      </c>
      <c r="W131" s="23">
        <v>-353.3</v>
      </c>
    </row>
    <row r="132" spans="1:25" ht="15.75" x14ac:dyDescent="0.25">
      <c r="A132" s="40" t="s">
        <v>74</v>
      </c>
      <c r="B132" s="21"/>
      <c r="C132" s="22" t="s">
        <v>49</v>
      </c>
      <c r="D132" s="23">
        <v>0</v>
      </c>
      <c r="E132" s="23">
        <v>0</v>
      </c>
      <c r="F132" s="23">
        <v>0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23">
        <v>0</v>
      </c>
      <c r="Q132" s="23">
        <v>0</v>
      </c>
      <c r="R132" s="23">
        <v>0</v>
      </c>
      <c r="S132" s="23">
        <v>0</v>
      </c>
      <c r="T132" s="23">
        <v>0</v>
      </c>
      <c r="U132" s="23">
        <v>0</v>
      </c>
      <c r="V132" s="23">
        <v>-237</v>
      </c>
      <c r="W132" s="23">
        <v>0</v>
      </c>
    </row>
    <row r="133" spans="1:25" ht="15.75" x14ac:dyDescent="0.25">
      <c r="A133" s="40" t="s">
        <v>75</v>
      </c>
      <c r="B133" s="21"/>
      <c r="C133" s="22" t="s">
        <v>17</v>
      </c>
      <c r="D133" s="23">
        <v>0</v>
      </c>
      <c r="E133" s="23">
        <v>-1.1000000000000001</v>
      </c>
      <c r="F133" s="23">
        <v>-168.90000000000003</v>
      </c>
      <c r="G133" s="23">
        <v>0</v>
      </c>
      <c r="H133" s="23">
        <v>-0.7</v>
      </c>
      <c r="I133" s="23">
        <v>0</v>
      </c>
      <c r="J133" s="23">
        <v>0</v>
      </c>
      <c r="K133" s="23">
        <v>-1.4</v>
      </c>
      <c r="L133" s="23">
        <v>0</v>
      </c>
      <c r="M133" s="23">
        <v>-7.2</v>
      </c>
      <c r="N133" s="23">
        <v>0</v>
      </c>
      <c r="O133" s="23">
        <v>0</v>
      </c>
      <c r="P133" s="23">
        <v>-6.4</v>
      </c>
      <c r="Q133" s="23">
        <v>0</v>
      </c>
      <c r="R133" s="23">
        <v>0</v>
      </c>
      <c r="S133" s="23">
        <v>-74.900000000000006</v>
      </c>
      <c r="T133" s="23">
        <v>0</v>
      </c>
      <c r="U133" s="23">
        <v>-1.2</v>
      </c>
      <c r="V133" s="23">
        <v>0</v>
      </c>
      <c r="W133" s="23">
        <v>0</v>
      </c>
    </row>
    <row r="134" spans="1:25" ht="15.75" x14ac:dyDescent="0.25">
      <c r="A134" s="40" t="s">
        <v>76</v>
      </c>
      <c r="B134" s="21"/>
      <c r="C134" s="22" t="s">
        <v>19</v>
      </c>
      <c r="D134" s="23">
        <v>0</v>
      </c>
      <c r="E134" s="23">
        <v>0</v>
      </c>
      <c r="F134" s="23">
        <v>0</v>
      </c>
      <c r="G134" s="23">
        <v>-175</v>
      </c>
      <c r="H134" s="23">
        <v>0</v>
      </c>
      <c r="I134" s="23">
        <v>-41</v>
      </c>
      <c r="J134" s="23">
        <v>0</v>
      </c>
      <c r="K134" s="23">
        <v>0</v>
      </c>
      <c r="L134" s="23">
        <v>0</v>
      </c>
      <c r="M134" s="23">
        <v>0</v>
      </c>
      <c r="N134" s="23">
        <v>-74.5</v>
      </c>
      <c r="O134" s="23">
        <v>-9.9</v>
      </c>
      <c r="P134" s="23">
        <v>0</v>
      </c>
      <c r="Q134" s="23">
        <v>-20</v>
      </c>
      <c r="R134" s="23">
        <v>-20</v>
      </c>
      <c r="S134" s="23">
        <v>0</v>
      </c>
      <c r="T134" s="23">
        <v>0</v>
      </c>
      <c r="U134" s="23">
        <v>-10</v>
      </c>
      <c r="V134" s="23">
        <v>-10</v>
      </c>
      <c r="W134" s="23">
        <v>0</v>
      </c>
    </row>
    <row r="135" spans="1:25" ht="15.75" x14ac:dyDescent="0.25">
      <c r="A135" s="40" t="s">
        <v>77</v>
      </c>
      <c r="B135" s="21"/>
      <c r="C135" s="22" t="s">
        <v>20</v>
      </c>
      <c r="D135" s="23">
        <v>0</v>
      </c>
      <c r="E135" s="23">
        <v>0</v>
      </c>
      <c r="F135" s="23">
        <v>0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0</v>
      </c>
      <c r="M135" s="23">
        <v>-2</v>
      </c>
      <c r="N135" s="23">
        <v>0</v>
      </c>
      <c r="O135" s="23">
        <v>0</v>
      </c>
      <c r="P135" s="23">
        <v>-67</v>
      </c>
      <c r="Q135" s="23">
        <v>-48.9</v>
      </c>
      <c r="R135" s="23">
        <v>0</v>
      </c>
      <c r="S135" s="23">
        <v>0</v>
      </c>
      <c r="T135" s="23">
        <v>-0.8</v>
      </c>
      <c r="U135" s="23">
        <v>-115</v>
      </c>
      <c r="V135" s="23">
        <v>-175.20000000000002</v>
      </c>
      <c r="W135" s="23">
        <v>-10.9</v>
      </c>
    </row>
    <row r="136" spans="1:25" x14ac:dyDescent="0.25">
      <c r="B136" s="35"/>
      <c r="C136" s="17" t="s">
        <v>22</v>
      </c>
      <c r="D136" s="18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20"/>
    </row>
    <row r="137" spans="1:25" ht="16.5" thickBot="1" x14ac:dyDescent="0.3">
      <c r="A137" s="40" t="s">
        <v>62</v>
      </c>
      <c r="B137" s="36"/>
      <c r="C137" s="18" t="s">
        <v>105</v>
      </c>
      <c r="D137" s="24">
        <v>0</v>
      </c>
      <c r="E137" s="24">
        <v>0</v>
      </c>
      <c r="F137" s="24">
        <v>0</v>
      </c>
      <c r="G137" s="24">
        <v>0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  <c r="M137" s="24">
        <v>0</v>
      </c>
      <c r="N137" s="24">
        <v>0</v>
      </c>
      <c r="O137" s="24">
        <v>0</v>
      </c>
      <c r="P137" s="24">
        <v>0</v>
      </c>
      <c r="Q137" s="24">
        <v>0</v>
      </c>
      <c r="R137" s="24">
        <v>0</v>
      </c>
      <c r="S137" s="24">
        <v>0</v>
      </c>
      <c r="T137" s="24">
        <v>0</v>
      </c>
      <c r="U137" s="24">
        <v>0</v>
      </c>
      <c r="V137" s="24">
        <v>442.8</v>
      </c>
      <c r="W137" s="24">
        <v>0</v>
      </c>
    </row>
    <row r="138" spans="1:25" ht="16.5" thickBot="1" x14ac:dyDescent="0.3">
      <c r="B138" s="25"/>
      <c r="C138" s="27" t="s">
        <v>81</v>
      </c>
      <c r="D138" s="28">
        <v>0</v>
      </c>
      <c r="E138" s="28">
        <v>0</v>
      </c>
      <c r="F138" s="28">
        <v>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0</v>
      </c>
      <c r="M138" s="28">
        <v>0</v>
      </c>
      <c r="N138" s="28">
        <v>0</v>
      </c>
      <c r="O138" s="28">
        <v>0</v>
      </c>
      <c r="P138" s="28">
        <v>0</v>
      </c>
      <c r="Q138" s="28">
        <v>0</v>
      </c>
      <c r="R138" s="28">
        <v>0</v>
      </c>
      <c r="S138" s="28">
        <v>0</v>
      </c>
      <c r="T138" s="28">
        <v>0</v>
      </c>
      <c r="U138" s="28">
        <v>0</v>
      </c>
      <c r="V138" s="28">
        <v>442.8</v>
      </c>
      <c r="W138" s="28">
        <v>0</v>
      </c>
    </row>
    <row r="139" spans="1:25" ht="16.5" thickBot="1" x14ac:dyDescent="0.3">
      <c r="A139" s="40" t="s">
        <v>68</v>
      </c>
      <c r="B139" s="36"/>
      <c r="C139" s="18" t="s">
        <v>183</v>
      </c>
      <c r="D139" s="24">
        <v>0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4">
        <v>9.8000000000000007</v>
      </c>
      <c r="O139" s="24">
        <v>0</v>
      </c>
      <c r="P139" s="24">
        <v>0</v>
      </c>
      <c r="Q139" s="24">
        <v>0</v>
      </c>
      <c r="R139" s="24">
        <v>0</v>
      </c>
      <c r="S139" s="24">
        <v>0</v>
      </c>
      <c r="T139" s="24">
        <v>0</v>
      </c>
      <c r="U139" s="24">
        <v>0</v>
      </c>
      <c r="V139" s="24">
        <v>10.6</v>
      </c>
      <c r="W139" s="24">
        <v>0</v>
      </c>
      <c r="Y139" s="46"/>
    </row>
    <row r="140" spans="1:25" ht="16.5" thickBot="1" x14ac:dyDescent="0.3">
      <c r="B140" s="36"/>
      <c r="C140" s="27" t="s">
        <v>28</v>
      </c>
      <c r="D140" s="28">
        <v>0</v>
      </c>
      <c r="E140" s="28">
        <v>0</v>
      </c>
      <c r="F140" s="28">
        <v>0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8">
        <v>0</v>
      </c>
      <c r="M140" s="28">
        <v>0</v>
      </c>
      <c r="N140" s="28">
        <v>9.8000000000000007</v>
      </c>
      <c r="O140" s="28">
        <v>0</v>
      </c>
      <c r="P140" s="28">
        <v>0</v>
      </c>
      <c r="Q140" s="28">
        <v>0</v>
      </c>
      <c r="R140" s="28">
        <v>0</v>
      </c>
      <c r="S140" s="28">
        <v>0</v>
      </c>
      <c r="T140" s="28">
        <v>0</v>
      </c>
      <c r="U140" s="28">
        <v>0</v>
      </c>
      <c r="V140" s="28">
        <v>10.6</v>
      </c>
      <c r="W140" s="28">
        <v>0</v>
      </c>
    </row>
    <row r="141" spans="1:25" ht="15.75" x14ac:dyDescent="0.25">
      <c r="A141" s="40" t="s">
        <v>65</v>
      </c>
      <c r="B141" s="36"/>
      <c r="C141" s="1" t="s">
        <v>50</v>
      </c>
      <c r="D141" s="24">
        <v>0</v>
      </c>
      <c r="E141" s="24">
        <v>0</v>
      </c>
      <c r="F141" s="24">
        <v>0</v>
      </c>
      <c r="G141" s="24">
        <v>0</v>
      </c>
      <c r="H141" s="24">
        <v>0</v>
      </c>
      <c r="I141" s="24">
        <v>354</v>
      </c>
      <c r="J141" s="24">
        <v>0</v>
      </c>
      <c r="K141" s="24">
        <v>0</v>
      </c>
      <c r="L141" s="24">
        <v>0</v>
      </c>
      <c r="M141" s="24">
        <v>0</v>
      </c>
      <c r="N141" s="24">
        <v>359.4</v>
      </c>
      <c r="O141" s="24">
        <v>0</v>
      </c>
      <c r="P141" s="24">
        <v>0</v>
      </c>
      <c r="Q141" s="24">
        <v>0</v>
      </c>
      <c r="R141" s="24">
        <v>0</v>
      </c>
      <c r="S141" s="24">
        <v>0</v>
      </c>
      <c r="T141" s="24">
        <v>0</v>
      </c>
      <c r="U141" s="24">
        <v>0</v>
      </c>
      <c r="V141" s="24">
        <v>0</v>
      </c>
      <c r="W141" s="24">
        <v>701.8</v>
      </c>
      <c r="X141" s="46"/>
    </row>
    <row r="142" spans="1:25" ht="15.75" x14ac:dyDescent="0.25">
      <c r="A142" s="40" t="s">
        <v>65</v>
      </c>
      <c r="B142" s="36"/>
      <c r="C142" s="1" t="s">
        <v>106</v>
      </c>
      <c r="D142" s="24">
        <v>0</v>
      </c>
      <c r="E142" s="24">
        <v>0</v>
      </c>
      <c r="F142" s="24">
        <v>0</v>
      </c>
      <c r="G142" s="24">
        <v>0</v>
      </c>
      <c r="H142" s="24">
        <v>0</v>
      </c>
      <c r="I142" s="24">
        <v>500</v>
      </c>
      <c r="J142" s="24">
        <v>0</v>
      </c>
      <c r="K142" s="24">
        <v>0</v>
      </c>
      <c r="L142" s="24">
        <v>0</v>
      </c>
      <c r="M142" s="24">
        <v>0</v>
      </c>
      <c r="N142" s="24">
        <v>0</v>
      </c>
      <c r="O142" s="24">
        <v>0</v>
      </c>
      <c r="P142" s="24">
        <v>0</v>
      </c>
      <c r="Q142" s="24">
        <v>0</v>
      </c>
      <c r="R142" s="24">
        <v>475</v>
      </c>
      <c r="S142" s="24">
        <v>0</v>
      </c>
      <c r="T142" s="24">
        <v>0</v>
      </c>
      <c r="U142" s="24">
        <v>0</v>
      </c>
      <c r="V142" s="24">
        <v>0</v>
      </c>
      <c r="W142" s="24">
        <v>0</v>
      </c>
    </row>
    <row r="143" spans="1:25" ht="16.5" thickBot="1" x14ac:dyDescent="0.3">
      <c r="A143" s="40" t="s">
        <v>65</v>
      </c>
      <c r="B143" s="36"/>
      <c r="C143" s="1" t="s">
        <v>107</v>
      </c>
      <c r="D143" s="24">
        <v>0</v>
      </c>
      <c r="E143" s="24">
        <v>0</v>
      </c>
      <c r="F143" s="24">
        <v>0</v>
      </c>
      <c r="G143" s="24">
        <v>0</v>
      </c>
      <c r="H143" s="24">
        <v>0</v>
      </c>
      <c r="I143" s="24">
        <v>395.2</v>
      </c>
      <c r="J143" s="24">
        <v>0</v>
      </c>
      <c r="K143" s="24">
        <v>0</v>
      </c>
      <c r="L143" s="24">
        <v>0</v>
      </c>
      <c r="M143" s="24">
        <v>0</v>
      </c>
      <c r="N143" s="24">
        <v>0</v>
      </c>
      <c r="O143" s="24">
        <v>0</v>
      </c>
      <c r="P143" s="24">
        <v>0</v>
      </c>
      <c r="Q143" s="24">
        <v>0</v>
      </c>
      <c r="R143" s="24">
        <v>0</v>
      </c>
      <c r="S143" s="24">
        <v>0</v>
      </c>
      <c r="T143" s="24">
        <v>0</v>
      </c>
      <c r="U143" s="24">
        <v>419.4</v>
      </c>
      <c r="V143" s="24">
        <v>0</v>
      </c>
      <c r="W143" s="24">
        <v>0</v>
      </c>
      <c r="X143" s="46"/>
    </row>
    <row r="144" spans="1:25" ht="16.5" thickBot="1" x14ac:dyDescent="0.3">
      <c r="B144" s="36"/>
      <c r="C144" s="27" t="s">
        <v>30</v>
      </c>
      <c r="D144" s="28">
        <v>0</v>
      </c>
      <c r="E144" s="28">
        <v>0</v>
      </c>
      <c r="F144" s="28">
        <v>0</v>
      </c>
      <c r="G144" s="28">
        <v>0</v>
      </c>
      <c r="H144" s="28">
        <v>0</v>
      </c>
      <c r="I144" s="28">
        <v>1249.2</v>
      </c>
      <c r="J144" s="28">
        <v>0</v>
      </c>
      <c r="K144" s="28">
        <v>0</v>
      </c>
      <c r="L144" s="28">
        <v>0</v>
      </c>
      <c r="M144" s="28">
        <v>0</v>
      </c>
      <c r="N144" s="28">
        <v>359.4</v>
      </c>
      <c r="O144" s="28">
        <v>0</v>
      </c>
      <c r="P144" s="28">
        <v>0</v>
      </c>
      <c r="Q144" s="28">
        <v>0</v>
      </c>
      <c r="R144" s="28">
        <v>475</v>
      </c>
      <c r="S144" s="28">
        <v>0</v>
      </c>
      <c r="T144" s="28">
        <v>0</v>
      </c>
      <c r="U144" s="28">
        <v>419.4</v>
      </c>
      <c r="V144" s="28">
        <v>0</v>
      </c>
      <c r="W144" s="28">
        <v>701.8</v>
      </c>
    </row>
    <row r="145" spans="1:23" ht="15.75" x14ac:dyDescent="0.25">
      <c r="A145" s="40" t="s">
        <v>63</v>
      </c>
      <c r="B145" s="36"/>
      <c r="C145" s="1" t="s">
        <v>51</v>
      </c>
      <c r="D145" s="24">
        <v>0</v>
      </c>
      <c r="E145" s="24">
        <v>0</v>
      </c>
      <c r="F145" s="24">
        <v>0</v>
      </c>
      <c r="G145" s="24">
        <v>0</v>
      </c>
      <c r="H145" s="24">
        <v>0</v>
      </c>
      <c r="I145" s="24">
        <v>0</v>
      </c>
      <c r="J145" s="24">
        <v>0</v>
      </c>
      <c r="K145" s="24">
        <v>0</v>
      </c>
      <c r="L145" s="24">
        <v>0</v>
      </c>
      <c r="M145" s="24">
        <v>0</v>
      </c>
      <c r="N145" s="24">
        <v>7.5119999999999996</v>
      </c>
      <c r="O145" s="24">
        <v>0</v>
      </c>
      <c r="P145" s="24">
        <v>0</v>
      </c>
      <c r="Q145" s="24">
        <v>0</v>
      </c>
      <c r="R145" s="24">
        <v>0</v>
      </c>
      <c r="S145" s="24">
        <v>0</v>
      </c>
      <c r="T145" s="24">
        <v>0</v>
      </c>
      <c r="U145" s="24">
        <v>0</v>
      </c>
      <c r="V145" s="24">
        <v>0</v>
      </c>
      <c r="W145" s="24">
        <v>0</v>
      </c>
    </row>
    <row r="146" spans="1:23" ht="15.75" x14ac:dyDescent="0.25">
      <c r="A146" s="40" t="s">
        <v>63</v>
      </c>
      <c r="B146" s="36"/>
      <c r="C146" s="1" t="s">
        <v>84</v>
      </c>
      <c r="D146" s="30">
        <v>0</v>
      </c>
      <c r="E146" s="30">
        <v>0</v>
      </c>
      <c r="F146" s="30">
        <v>0</v>
      </c>
      <c r="G146" s="30">
        <v>0</v>
      </c>
      <c r="H146" s="30">
        <v>0</v>
      </c>
      <c r="I146" s="30">
        <v>0</v>
      </c>
      <c r="J146" s="30">
        <v>0</v>
      </c>
      <c r="K146" s="30">
        <v>0</v>
      </c>
      <c r="L146" s="30">
        <v>0</v>
      </c>
      <c r="M146" s="30">
        <v>0</v>
      </c>
      <c r="N146" s="30">
        <v>1.851</v>
      </c>
      <c r="O146" s="30">
        <v>0</v>
      </c>
      <c r="P146" s="30">
        <v>0</v>
      </c>
      <c r="Q146" s="30">
        <v>0</v>
      </c>
      <c r="R146" s="30">
        <v>0</v>
      </c>
      <c r="S146" s="30">
        <v>0</v>
      </c>
      <c r="T146" s="30">
        <v>0</v>
      </c>
      <c r="U146" s="30">
        <v>0</v>
      </c>
      <c r="V146" s="30">
        <v>0</v>
      </c>
      <c r="W146" s="30">
        <v>0</v>
      </c>
    </row>
    <row r="147" spans="1:23" ht="15.75" x14ac:dyDescent="0.25">
      <c r="A147" s="40" t="s">
        <v>63</v>
      </c>
      <c r="B147" s="36"/>
      <c r="C147" s="1" t="s">
        <v>108</v>
      </c>
      <c r="D147" s="30">
        <v>0</v>
      </c>
      <c r="E147" s="30">
        <v>0</v>
      </c>
      <c r="F147" s="30">
        <v>0</v>
      </c>
      <c r="G147" s="30">
        <v>0</v>
      </c>
      <c r="H147" s="30">
        <v>0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30">
        <v>1.53</v>
      </c>
    </row>
    <row r="148" spans="1:23" ht="15.75" x14ac:dyDescent="0.25">
      <c r="A148" s="40" t="s">
        <v>63</v>
      </c>
      <c r="B148" s="36"/>
      <c r="C148" s="1" t="s">
        <v>109</v>
      </c>
      <c r="D148" s="30">
        <v>0</v>
      </c>
      <c r="E148" s="30">
        <v>0</v>
      </c>
      <c r="F148" s="30">
        <v>0</v>
      </c>
      <c r="G148" s="30">
        <v>0</v>
      </c>
      <c r="H148" s="30">
        <v>0</v>
      </c>
      <c r="I148" s="30">
        <v>0</v>
      </c>
      <c r="J148" s="30">
        <v>0</v>
      </c>
      <c r="K148" s="30">
        <v>0</v>
      </c>
      <c r="L148" s="30">
        <v>0</v>
      </c>
      <c r="M148" s="30">
        <v>0</v>
      </c>
      <c r="N148" s="30">
        <v>0</v>
      </c>
      <c r="O148" s="30">
        <v>0</v>
      </c>
      <c r="P148" s="30">
        <v>0</v>
      </c>
      <c r="Q148" s="30">
        <v>0</v>
      </c>
      <c r="R148" s="30">
        <v>0</v>
      </c>
      <c r="S148" s="30">
        <v>0</v>
      </c>
      <c r="T148" s="30">
        <v>0</v>
      </c>
      <c r="U148" s="30">
        <v>0</v>
      </c>
      <c r="V148" s="30">
        <v>0</v>
      </c>
      <c r="W148" s="30">
        <v>1.103</v>
      </c>
    </row>
    <row r="149" spans="1:23" ht="15.75" x14ac:dyDescent="0.25">
      <c r="A149" s="40" t="s">
        <v>63</v>
      </c>
      <c r="B149" s="25"/>
      <c r="C149" s="18" t="s">
        <v>110</v>
      </c>
      <c r="D149" s="30">
        <v>0</v>
      </c>
      <c r="E149" s="30">
        <v>0</v>
      </c>
      <c r="F149" s="30">
        <v>0</v>
      </c>
      <c r="G149" s="30">
        <v>0</v>
      </c>
      <c r="H149" s="30">
        <v>0</v>
      </c>
      <c r="I149" s="30">
        <v>0</v>
      </c>
      <c r="J149" s="30">
        <v>0</v>
      </c>
      <c r="K149" s="30">
        <v>0</v>
      </c>
      <c r="L149" s="30">
        <v>0</v>
      </c>
      <c r="M149" s="30">
        <v>0</v>
      </c>
      <c r="N149" s="30">
        <v>0</v>
      </c>
      <c r="O149" s="30">
        <v>0</v>
      </c>
      <c r="P149" s="30">
        <v>0</v>
      </c>
      <c r="Q149" s="30">
        <v>0</v>
      </c>
      <c r="R149" s="30">
        <v>0</v>
      </c>
      <c r="S149" s="30">
        <v>0</v>
      </c>
      <c r="T149" s="30">
        <v>0</v>
      </c>
      <c r="U149" s="30">
        <v>0</v>
      </c>
      <c r="V149" s="30">
        <v>4.7750000000000004</v>
      </c>
      <c r="W149" s="30">
        <v>0</v>
      </c>
    </row>
    <row r="150" spans="1:23" ht="15.75" x14ac:dyDescent="0.25">
      <c r="A150" s="40" t="s">
        <v>63</v>
      </c>
      <c r="B150" s="25"/>
      <c r="C150" s="18" t="s">
        <v>111</v>
      </c>
      <c r="D150" s="30">
        <v>0</v>
      </c>
      <c r="E150" s="30">
        <v>0</v>
      </c>
      <c r="F150" s="30">
        <v>0</v>
      </c>
      <c r="G150" s="30">
        <v>0</v>
      </c>
      <c r="H150" s="30">
        <v>0</v>
      </c>
      <c r="I150" s="30">
        <v>0</v>
      </c>
      <c r="J150" s="30">
        <v>0</v>
      </c>
      <c r="K150" s="30">
        <v>0</v>
      </c>
      <c r="L150" s="30">
        <v>0</v>
      </c>
      <c r="M150" s="30">
        <v>0</v>
      </c>
      <c r="N150" s="30">
        <v>0</v>
      </c>
      <c r="O150" s="30">
        <v>0</v>
      </c>
      <c r="P150" s="30">
        <v>0</v>
      </c>
      <c r="Q150" s="30">
        <v>0</v>
      </c>
      <c r="R150" s="30">
        <v>0</v>
      </c>
      <c r="S150" s="30">
        <v>0</v>
      </c>
      <c r="T150" s="30">
        <v>0</v>
      </c>
      <c r="U150" s="30">
        <v>0</v>
      </c>
      <c r="V150" s="30">
        <v>5.8010000000000002</v>
      </c>
      <c r="W150" s="30">
        <v>0</v>
      </c>
    </row>
    <row r="151" spans="1:23" ht="15.75" x14ac:dyDescent="0.25">
      <c r="A151" s="40" t="s">
        <v>63</v>
      </c>
      <c r="B151" s="25"/>
      <c r="C151" s="18" t="s">
        <v>112</v>
      </c>
      <c r="D151" s="30">
        <v>0</v>
      </c>
      <c r="E151" s="30">
        <v>0</v>
      </c>
      <c r="F151" s="30">
        <v>0</v>
      </c>
      <c r="G151" s="30">
        <v>0</v>
      </c>
      <c r="H151" s="30">
        <v>0</v>
      </c>
      <c r="I151" s="30">
        <v>0</v>
      </c>
      <c r="J151" s="30">
        <v>0</v>
      </c>
      <c r="K151" s="30">
        <v>0</v>
      </c>
      <c r="L151" s="30">
        <v>0</v>
      </c>
      <c r="M151" s="30">
        <v>0</v>
      </c>
      <c r="N151" s="30">
        <v>0</v>
      </c>
      <c r="O151" s="30">
        <v>0</v>
      </c>
      <c r="P151" s="30">
        <v>0</v>
      </c>
      <c r="Q151" s="30">
        <v>0</v>
      </c>
      <c r="R151" s="30">
        <v>0</v>
      </c>
      <c r="S151" s="30">
        <v>0</v>
      </c>
      <c r="T151" s="30">
        <v>0</v>
      </c>
      <c r="U151" s="30">
        <v>0</v>
      </c>
      <c r="V151" s="30">
        <v>0</v>
      </c>
      <c r="W151" s="30">
        <v>10.881</v>
      </c>
    </row>
    <row r="152" spans="1:23" ht="15.75" x14ac:dyDescent="0.25">
      <c r="A152" s="40" t="s">
        <v>63</v>
      </c>
      <c r="B152" s="25"/>
      <c r="C152" s="18" t="s">
        <v>96</v>
      </c>
      <c r="D152" s="30">
        <v>0</v>
      </c>
      <c r="E152" s="30">
        <v>0</v>
      </c>
      <c r="F152" s="30">
        <v>0</v>
      </c>
      <c r="G152" s="30">
        <v>0</v>
      </c>
      <c r="H152" s="30">
        <v>0</v>
      </c>
      <c r="I152" s="30">
        <v>0</v>
      </c>
      <c r="J152" s="30">
        <v>0</v>
      </c>
      <c r="K152" s="30">
        <v>0</v>
      </c>
      <c r="L152" s="30">
        <v>0</v>
      </c>
      <c r="M152" s="30">
        <v>0</v>
      </c>
      <c r="N152" s="30">
        <v>0</v>
      </c>
      <c r="O152" s="30">
        <v>0</v>
      </c>
      <c r="P152" s="30">
        <v>0</v>
      </c>
      <c r="Q152" s="30">
        <v>0</v>
      </c>
      <c r="R152" s="30">
        <v>0</v>
      </c>
      <c r="S152" s="30">
        <v>0</v>
      </c>
      <c r="T152" s="30">
        <v>0</v>
      </c>
      <c r="U152" s="30">
        <v>0</v>
      </c>
      <c r="V152" s="30">
        <v>13.268000000000001</v>
      </c>
      <c r="W152" s="30">
        <v>0</v>
      </c>
    </row>
    <row r="153" spans="1:23" ht="15.75" x14ac:dyDescent="0.25">
      <c r="A153" s="40" t="s">
        <v>63</v>
      </c>
      <c r="B153" s="25"/>
      <c r="C153" s="18" t="s">
        <v>113</v>
      </c>
      <c r="D153" s="30">
        <v>0</v>
      </c>
      <c r="E153" s="30">
        <v>0</v>
      </c>
      <c r="F153" s="30">
        <v>0</v>
      </c>
      <c r="G153" s="30">
        <v>0</v>
      </c>
      <c r="H153" s="30">
        <v>0</v>
      </c>
      <c r="I153" s="30">
        <v>0</v>
      </c>
      <c r="J153" s="30">
        <v>0</v>
      </c>
      <c r="K153" s="30">
        <v>0</v>
      </c>
      <c r="L153" s="30">
        <v>0</v>
      </c>
      <c r="M153" s="30">
        <v>0</v>
      </c>
      <c r="N153" s="30">
        <v>0</v>
      </c>
      <c r="O153" s="30">
        <v>0</v>
      </c>
      <c r="P153" s="30">
        <v>0</v>
      </c>
      <c r="Q153" s="30">
        <v>0</v>
      </c>
      <c r="R153" s="30">
        <v>0</v>
      </c>
      <c r="S153" s="30">
        <v>0</v>
      </c>
      <c r="T153" s="30">
        <v>0</v>
      </c>
      <c r="U153" s="30">
        <v>0</v>
      </c>
      <c r="V153" s="30">
        <v>0</v>
      </c>
      <c r="W153" s="30">
        <v>7.681</v>
      </c>
    </row>
    <row r="154" spans="1:23" ht="15.75" x14ac:dyDescent="0.25">
      <c r="A154" s="40" t="s">
        <v>63</v>
      </c>
      <c r="B154" s="25"/>
      <c r="C154" s="18" t="s">
        <v>114</v>
      </c>
      <c r="D154" s="30">
        <v>0</v>
      </c>
      <c r="E154" s="30">
        <v>0</v>
      </c>
      <c r="F154" s="30">
        <v>0</v>
      </c>
      <c r="G154" s="30">
        <v>0</v>
      </c>
      <c r="H154" s="30">
        <v>0</v>
      </c>
      <c r="I154" s="30">
        <v>0</v>
      </c>
      <c r="J154" s="30">
        <v>0</v>
      </c>
      <c r="K154" s="30">
        <v>0</v>
      </c>
      <c r="L154" s="30">
        <v>0</v>
      </c>
      <c r="M154" s="30">
        <v>0</v>
      </c>
      <c r="N154" s="30">
        <v>0</v>
      </c>
      <c r="O154" s="30">
        <v>0</v>
      </c>
      <c r="P154" s="30">
        <v>0</v>
      </c>
      <c r="Q154" s="30">
        <v>0</v>
      </c>
      <c r="R154" s="30">
        <v>0</v>
      </c>
      <c r="S154" s="30">
        <v>0</v>
      </c>
      <c r="T154" s="30">
        <v>0</v>
      </c>
      <c r="U154" s="30">
        <v>0</v>
      </c>
      <c r="V154" s="30">
        <v>0</v>
      </c>
      <c r="W154" s="30">
        <v>10.907999999999999</v>
      </c>
    </row>
    <row r="155" spans="1:23" ht="15.75" x14ac:dyDescent="0.25">
      <c r="A155" s="40" t="s">
        <v>63</v>
      </c>
      <c r="B155" s="25"/>
      <c r="C155" s="18" t="s">
        <v>97</v>
      </c>
      <c r="D155" s="30">
        <v>0</v>
      </c>
      <c r="E155" s="30">
        <v>0</v>
      </c>
      <c r="F155" s="30">
        <v>0</v>
      </c>
      <c r="G155" s="30">
        <v>0</v>
      </c>
      <c r="H155" s="30">
        <v>0</v>
      </c>
      <c r="I155" s="30">
        <v>0</v>
      </c>
      <c r="J155" s="30">
        <v>0</v>
      </c>
      <c r="K155" s="30">
        <v>0</v>
      </c>
      <c r="L155" s="30">
        <v>0</v>
      </c>
      <c r="M155" s="30">
        <v>0</v>
      </c>
      <c r="N155" s="30">
        <v>0</v>
      </c>
      <c r="O155" s="30">
        <v>0</v>
      </c>
      <c r="P155" s="30">
        <v>0</v>
      </c>
      <c r="Q155" s="30">
        <v>0</v>
      </c>
      <c r="R155" s="30">
        <v>0</v>
      </c>
      <c r="S155" s="30">
        <v>0</v>
      </c>
      <c r="T155" s="30">
        <v>0</v>
      </c>
      <c r="U155" s="30">
        <v>0</v>
      </c>
      <c r="V155" s="30">
        <v>8.3060000000000009</v>
      </c>
      <c r="W155" s="30">
        <v>0</v>
      </c>
    </row>
    <row r="156" spans="1:23" ht="16.5" thickBot="1" x14ac:dyDescent="0.3">
      <c r="A156" s="40" t="s">
        <v>63</v>
      </c>
      <c r="B156" s="25"/>
      <c r="C156" s="18" t="s">
        <v>115</v>
      </c>
      <c r="D156" s="30">
        <v>0</v>
      </c>
      <c r="E156" s="30">
        <v>0</v>
      </c>
      <c r="F156" s="30">
        <v>0</v>
      </c>
      <c r="G156" s="30">
        <v>0</v>
      </c>
      <c r="H156" s="30">
        <v>0</v>
      </c>
      <c r="I156" s="30">
        <v>0</v>
      </c>
      <c r="J156" s="30">
        <v>0</v>
      </c>
      <c r="K156" s="30">
        <v>0</v>
      </c>
      <c r="L156" s="30">
        <v>0</v>
      </c>
      <c r="M156" s="30">
        <v>0</v>
      </c>
      <c r="N156" s="30">
        <v>0</v>
      </c>
      <c r="O156" s="30">
        <v>0</v>
      </c>
      <c r="P156" s="30">
        <v>0</v>
      </c>
      <c r="Q156" s="30">
        <v>0</v>
      </c>
      <c r="R156" s="30">
        <v>0</v>
      </c>
      <c r="S156" s="30">
        <v>0</v>
      </c>
      <c r="T156" s="30">
        <v>0</v>
      </c>
      <c r="U156" s="30">
        <v>0</v>
      </c>
      <c r="V156" s="30">
        <v>16.631</v>
      </c>
      <c r="W156" s="30">
        <v>0</v>
      </c>
    </row>
    <row r="157" spans="1:23" ht="16.5" thickBot="1" x14ac:dyDescent="0.3">
      <c r="B157" s="25"/>
      <c r="C157" s="27" t="s">
        <v>52</v>
      </c>
      <c r="D157" s="32">
        <v>0</v>
      </c>
      <c r="E157" s="32">
        <v>0</v>
      </c>
      <c r="F157" s="32">
        <v>0</v>
      </c>
      <c r="G157" s="32">
        <v>0</v>
      </c>
      <c r="H157" s="32">
        <v>0</v>
      </c>
      <c r="I157" s="32">
        <v>0</v>
      </c>
      <c r="J157" s="32">
        <v>0</v>
      </c>
      <c r="K157" s="32">
        <v>0</v>
      </c>
      <c r="L157" s="32">
        <v>0</v>
      </c>
      <c r="M157" s="32">
        <v>0</v>
      </c>
      <c r="N157" s="32">
        <v>9.3629999999999995</v>
      </c>
      <c r="O157" s="32">
        <v>0</v>
      </c>
      <c r="P157" s="32">
        <v>0</v>
      </c>
      <c r="Q157" s="32">
        <v>0</v>
      </c>
      <c r="R157" s="32">
        <v>0</v>
      </c>
      <c r="S157" s="32">
        <v>0</v>
      </c>
      <c r="T157" s="32">
        <v>0</v>
      </c>
      <c r="U157" s="32">
        <v>0</v>
      </c>
      <c r="V157" s="32">
        <v>48.781000000000006</v>
      </c>
      <c r="W157" s="32">
        <v>32.103000000000002</v>
      </c>
    </row>
    <row r="158" spans="1:23" ht="15.75" x14ac:dyDescent="0.25">
      <c r="A158" s="40" t="s">
        <v>64</v>
      </c>
      <c r="B158" s="36"/>
      <c r="C158" s="18" t="s">
        <v>53</v>
      </c>
      <c r="D158" s="24">
        <v>1</v>
      </c>
      <c r="E158" s="24">
        <v>1.6400000000000001</v>
      </c>
      <c r="F158" s="24">
        <v>1.53</v>
      </c>
      <c r="G158" s="24">
        <v>1.62</v>
      </c>
      <c r="H158" s="24">
        <v>1.8499999999999999</v>
      </c>
      <c r="I158" s="24">
        <v>1.83</v>
      </c>
      <c r="J158" s="24">
        <v>2.02</v>
      </c>
      <c r="K158" s="24">
        <v>2.0300000000000002</v>
      </c>
      <c r="L158" s="24">
        <v>2.0099999999999998</v>
      </c>
      <c r="M158" s="24">
        <v>2.0900000000000003</v>
      </c>
      <c r="N158" s="24">
        <v>2.08</v>
      </c>
      <c r="O158" s="24">
        <v>1.9500000000000002</v>
      </c>
      <c r="P158" s="24">
        <v>1.9200000000000002</v>
      </c>
      <c r="Q158" s="24">
        <v>1.84</v>
      </c>
      <c r="R158" s="24">
        <v>1.6600000000000001</v>
      </c>
      <c r="S158" s="24">
        <v>1.3</v>
      </c>
      <c r="T158" s="24">
        <v>1.4100000000000001</v>
      </c>
      <c r="U158" s="24">
        <v>1.17</v>
      </c>
      <c r="V158" s="24">
        <v>0.98000000000000009</v>
      </c>
      <c r="W158" s="24">
        <v>0.85</v>
      </c>
    </row>
    <row r="159" spans="1:23" ht="15.75" x14ac:dyDescent="0.25">
      <c r="A159" s="40" t="s">
        <v>64</v>
      </c>
      <c r="B159" s="25"/>
      <c r="C159" s="18" t="s">
        <v>54</v>
      </c>
      <c r="D159" s="24">
        <v>40</v>
      </c>
      <c r="E159" s="24">
        <v>37</v>
      </c>
      <c r="F159" s="24">
        <v>36.5</v>
      </c>
      <c r="G159" s="24">
        <v>41.7</v>
      </c>
      <c r="H159" s="24">
        <v>41.4</v>
      </c>
      <c r="I159" s="24">
        <v>45.6</v>
      </c>
      <c r="J159" s="24">
        <v>42.7</v>
      </c>
      <c r="K159" s="24">
        <v>41.100000000000009</v>
      </c>
      <c r="L159" s="24">
        <v>40.500000000000014</v>
      </c>
      <c r="M159" s="24">
        <v>38.200000000000003</v>
      </c>
      <c r="N159" s="24">
        <v>34.6</v>
      </c>
      <c r="O159" s="24">
        <v>32.099999999999994</v>
      </c>
      <c r="P159" s="24">
        <v>31.299999999999997</v>
      </c>
      <c r="Q159" s="24">
        <v>30.1</v>
      </c>
      <c r="R159" s="24">
        <v>25.5</v>
      </c>
      <c r="S159" s="24">
        <v>25.5</v>
      </c>
      <c r="T159" s="24">
        <v>25.300000000000004</v>
      </c>
      <c r="U159" s="24">
        <v>24.6</v>
      </c>
      <c r="V159" s="24">
        <v>23.5</v>
      </c>
      <c r="W159" s="24">
        <v>22.700000000000003</v>
      </c>
    </row>
    <row r="160" spans="1:23" ht="16.5" thickBot="1" x14ac:dyDescent="0.3">
      <c r="A160" s="40" t="s">
        <v>64</v>
      </c>
      <c r="B160" s="25"/>
      <c r="C160" s="18" t="s">
        <v>55</v>
      </c>
      <c r="D160" s="24">
        <v>11</v>
      </c>
      <c r="E160" s="24">
        <v>9.9499999999999993</v>
      </c>
      <c r="F160" s="24">
        <v>10.15</v>
      </c>
      <c r="G160" s="24">
        <v>11.299999999999999</v>
      </c>
      <c r="H160" s="24">
        <v>11.830000000000002</v>
      </c>
      <c r="I160" s="24">
        <v>11.909999999999998</v>
      </c>
      <c r="J160" s="24">
        <v>11.6</v>
      </c>
      <c r="K160" s="24">
        <v>11.189999999999998</v>
      </c>
      <c r="L160" s="24">
        <v>11.089999999999998</v>
      </c>
      <c r="M160" s="24">
        <v>10.749999999999998</v>
      </c>
      <c r="N160" s="24">
        <v>9.7799999999999994</v>
      </c>
      <c r="O160" s="24">
        <v>9.3800000000000026</v>
      </c>
      <c r="P160" s="24">
        <v>8.7900000000000009</v>
      </c>
      <c r="Q160" s="24">
        <v>8.1599999999999984</v>
      </c>
      <c r="R160" s="24">
        <v>7.6700000000000008</v>
      </c>
      <c r="S160" s="24">
        <v>5.8800000000000017</v>
      </c>
      <c r="T160" s="24">
        <v>5.8899999999999988</v>
      </c>
      <c r="U160" s="24">
        <v>4.7200000000000015</v>
      </c>
      <c r="V160" s="24">
        <v>4.0500000000000007</v>
      </c>
      <c r="W160" s="24">
        <v>4.0599999999999996</v>
      </c>
    </row>
    <row r="161" spans="1:23" ht="16.5" thickBot="1" x14ac:dyDescent="0.3">
      <c r="B161" s="25"/>
      <c r="C161" s="27" t="s">
        <v>56</v>
      </c>
      <c r="D161" s="28">
        <v>52</v>
      </c>
      <c r="E161" s="28">
        <v>48.59</v>
      </c>
      <c r="F161" s="28">
        <v>48.18</v>
      </c>
      <c r="G161" s="28">
        <v>54.62</v>
      </c>
      <c r="H161" s="28">
        <v>55.08</v>
      </c>
      <c r="I161" s="28">
        <v>59.339999999999996</v>
      </c>
      <c r="J161" s="28">
        <v>56.320000000000007</v>
      </c>
      <c r="K161" s="28">
        <v>54.320000000000007</v>
      </c>
      <c r="L161" s="28">
        <v>53.600000000000009</v>
      </c>
      <c r="M161" s="28">
        <v>51.040000000000006</v>
      </c>
      <c r="N161" s="28">
        <v>46.46</v>
      </c>
      <c r="O161" s="28">
        <v>43.43</v>
      </c>
      <c r="P161" s="28">
        <v>42.01</v>
      </c>
      <c r="Q161" s="28">
        <v>40.1</v>
      </c>
      <c r="R161" s="28">
        <v>34.83</v>
      </c>
      <c r="S161" s="28">
        <v>32.68</v>
      </c>
      <c r="T161" s="28">
        <v>32.6</v>
      </c>
      <c r="U161" s="28">
        <v>30.490000000000006</v>
      </c>
      <c r="V161" s="28">
        <v>28.53</v>
      </c>
      <c r="W161" s="28">
        <v>27.610000000000003</v>
      </c>
    </row>
    <row r="162" spans="1:23" ht="15.75" x14ac:dyDescent="0.25">
      <c r="A162" s="40" t="s">
        <v>72</v>
      </c>
      <c r="B162" s="36"/>
      <c r="C162" s="1" t="s">
        <v>116</v>
      </c>
      <c r="D162" s="24">
        <v>0</v>
      </c>
      <c r="E162" s="24">
        <v>0</v>
      </c>
      <c r="F162" s="24">
        <v>0</v>
      </c>
      <c r="G162" s="24">
        <v>0</v>
      </c>
      <c r="H162" s="24">
        <v>0</v>
      </c>
      <c r="I162" s="24">
        <v>0</v>
      </c>
      <c r="J162" s="24">
        <v>0</v>
      </c>
      <c r="K162" s="24">
        <v>0</v>
      </c>
      <c r="L162" s="24">
        <v>0</v>
      </c>
      <c r="M162" s="24">
        <v>0</v>
      </c>
      <c r="N162" s="24">
        <v>210</v>
      </c>
      <c r="O162" s="24">
        <v>0</v>
      </c>
      <c r="P162" s="24">
        <v>0</v>
      </c>
      <c r="Q162" s="24">
        <v>60</v>
      </c>
      <c r="R162" s="24">
        <v>0</v>
      </c>
      <c r="S162" s="24">
        <v>0</v>
      </c>
      <c r="T162" s="24">
        <v>0</v>
      </c>
      <c r="U162" s="24">
        <v>0</v>
      </c>
      <c r="V162" s="24">
        <v>0</v>
      </c>
      <c r="W162" s="24">
        <v>180</v>
      </c>
    </row>
    <row r="163" spans="1:23" ht="15.75" x14ac:dyDescent="0.25">
      <c r="A163" s="40" t="s">
        <v>72</v>
      </c>
      <c r="B163" s="36"/>
      <c r="C163" s="1" t="s">
        <v>184</v>
      </c>
      <c r="D163" s="24">
        <v>0</v>
      </c>
      <c r="E163" s="24">
        <v>0</v>
      </c>
      <c r="F163" s="24">
        <v>0</v>
      </c>
      <c r="G163" s="24">
        <v>0</v>
      </c>
      <c r="H163" s="24">
        <v>0</v>
      </c>
      <c r="I163" s="24">
        <v>0</v>
      </c>
      <c r="J163" s="24">
        <v>0</v>
      </c>
      <c r="K163" s="24">
        <v>0</v>
      </c>
      <c r="L163" s="24">
        <v>0</v>
      </c>
      <c r="M163" s="24">
        <v>75</v>
      </c>
      <c r="N163" s="24">
        <v>45</v>
      </c>
      <c r="O163" s="24">
        <v>0</v>
      </c>
      <c r="P163" s="24">
        <v>0</v>
      </c>
      <c r="Q163" s="24">
        <v>0</v>
      </c>
      <c r="R163" s="24">
        <v>0</v>
      </c>
      <c r="S163" s="24">
        <v>0</v>
      </c>
      <c r="T163" s="24">
        <v>0</v>
      </c>
      <c r="U163" s="24">
        <v>0</v>
      </c>
      <c r="V163" s="24">
        <v>0</v>
      </c>
      <c r="W163" s="24">
        <v>0</v>
      </c>
    </row>
    <row r="164" spans="1:23" ht="15.75" x14ac:dyDescent="0.25">
      <c r="A164" s="40" t="s">
        <v>72</v>
      </c>
      <c r="B164" s="36"/>
      <c r="C164" s="18" t="s">
        <v>117</v>
      </c>
      <c r="D164" s="24">
        <v>0</v>
      </c>
      <c r="E164" s="24">
        <v>0</v>
      </c>
      <c r="F164" s="37">
        <v>0</v>
      </c>
      <c r="G164" s="24">
        <v>0</v>
      </c>
      <c r="H164" s="24">
        <v>0</v>
      </c>
      <c r="I164" s="24">
        <v>0</v>
      </c>
      <c r="J164" s="24">
        <v>0</v>
      </c>
      <c r="K164" s="24">
        <v>0</v>
      </c>
      <c r="L164" s="24">
        <v>0</v>
      </c>
      <c r="M164" s="24">
        <v>0</v>
      </c>
      <c r="N164" s="24">
        <v>105</v>
      </c>
      <c r="O164" s="24">
        <v>0</v>
      </c>
      <c r="P164" s="24">
        <v>0</v>
      </c>
      <c r="Q164" s="24">
        <v>0</v>
      </c>
      <c r="R164" s="24">
        <v>0</v>
      </c>
      <c r="S164" s="24">
        <v>0</v>
      </c>
      <c r="T164" s="24">
        <v>0</v>
      </c>
      <c r="U164" s="24">
        <v>0</v>
      </c>
      <c r="V164" s="24">
        <v>0</v>
      </c>
      <c r="W164" s="24">
        <v>0</v>
      </c>
    </row>
    <row r="165" spans="1:23" ht="15.75" x14ac:dyDescent="0.25">
      <c r="A165" s="40" t="s">
        <v>72</v>
      </c>
      <c r="B165" s="36"/>
      <c r="C165" s="18" t="s">
        <v>118</v>
      </c>
      <c r="D165" s="24">
        <v>0</v>
      </c>
      <c r="E165" s="24">
        <v>0</v>
      </c>
      <c r="F165" s="24">
        <v>0</v>
      </c>
      <c r="G165" s="24">
        <v>0</v>
      </c>
      <c r="H165" s="24">
        <v>0</v>
      </c>
      <c r="I165" s="37">
        <v>0</v>
      </c>
      <c r="J165" s="24">
        <v>0</v>
      </c>
      <c r="K165" s="24">
        <v>0</v>
      </c>
      <c r="L165" s="24">
        <v>0</v>
      </c>
      <c r="M165" s="24">
        <v>0</v>
      </c>
      <c r="N165" s="24">
        <v>75</v>
      </c>
      <c r="O165" s="24">
        <v>0</v>
      </c>
      <c r="P165" s="24">
        <v>0</v>
      </c>
      <c r="Q165" s="24">
        <v>60</v>
      </c>
      <c r="R165" s="24">
        <v>0</v>
      </c>
      <c r="S165" s="24">
        <v>0</v>
      </c>
      <c r="T165" s="24">
        <v>0</v>
      </c>
      <c r="U165" s="24">
        <v>0</v>
      </c>
      <c r="V165" s="24">
        <v>0</v>
      </c>
      <c r="W165" s="24">
        <v>60</v>
      </c>
    </row>
    <row r="166" spans="1:23" ht="15.75" x14ac:dyDescent="0.25">
      <c r="A166" s="40" t="s">
        <v>72</v>
      </c>
      <c r="B166" s="36"/>
      <c r="C166" s="1" t="s">
        <v>119</v>
      </c>
      <c r="D166" s="24">
        <v>0</v>
      </c>
      <c r="E166" s="24">
        <v>0</v>
      </c>
      <c r="F166" s="24">
        <v>0</v>
      </c>
      <c r="G166" s="24">
        <v>0</v>
      </c>
      <c r="H166" s="24">
        <v>0</v>
      </c>
      <c r="I166" s="24">
        <v>0</v>
      </c>
      <c r="J166" s="24">
        <v>0</v>
      </c>
      <c r="K166" s="24">
        <v>0</v>
      </c>
      <c r="L166" s="24">
        <v>0</v>
      </c>
      <c r="M166" s="24">
        <v>105</v>
      </c>
      <c r="N166" s="24">
        <v>0</v>
      </c>
      <c r="O166" s="24">
        <v>0</v>
      </c>
      <c r="P166" s="24">
        <v>0</v>
      </c>
      <c r="Q166" s="24">
        <v>0</v>
      </c>
      <c r="R166" s="24">
        <v>0</v>
      </c>
      <c r="S166" s="24">
        <v>0</v>
      </c>
      <c r="T166" s="24">
        <v>0</v>
      </c>
      <c r="U166" s="24">
        <v>0</v>
      </c>
      <c r="V166" s="24">
        <v>0</v>
      </c>
      <c r="W166" s="24">
        <v>0</v>
      </c>
    </row>
    <row r="167" spans="1:23" ht="15.75" x14ac:dyDescent="0.25">
      <c r="A167" s="40" t="s">
        <v>66</v>
      </c>
      <c r="B167" s="34"/>
      <c r="C167" s="1" t="s">
        <v>57</v>
      </c>
      <c r="D167" s="24">
        <v>997.76199999999994</v>
      </c>
      <c r="E167" s="24">
        <v>719.45</v>
      </c>
      <c r="F167" s="24">
        <v>493</v>
      </c>
      <c r="G167" s="24">
        <v>502.68</v>
      </c>
      <c r="H167" s="24">
        <v>497.88</v>
      </c>
      <c r="I167" s="24">
        <v>130.94999999999999</v>
      </c>
      <c r="J167" s="24">
        <v>126.44500000000001</v>
      </c>
      <c r="K167" s="24">
        <v>191.24</v>
      </c>
      <c r="L167" s="24">
        <v>264</v>
      </c>
      <c r="M167" s="24">
        <v>1075</v>
      </c>
      <c r="N167" s="24">
        <v>1075</v>
      </c>
      <c r="O167" s="24">
        <v>1075</v>
      </c>
      <c r="P167" s="24">
        <v>1075</v>
      </c>
      <c r="Q167" s="24">
        <v>1075</v>
      </c>
      <c r="R167" s="24">
        <v>1075</v>
      </c>
      <c r="S167" s="24">
        <v>1075</v>
      </c>
      <c r="T167" s="24">
        <v>1074.4749999999999</v>
      </c>
      <c r="U167" s="24">
        <v>976.6</v>
      </c>
      <c r="V167" s="24">
        <v>1074.4749999999999</v>
      </c>
      <c r="W167" s="24">
        <v>1075</v>
      </c>
    </row>
    <row r="168" spans="1:23" ht="15.75" x14ac:dyDescent="0.25">
      <c r="A168" s="40" t="s">
        <v>98</v>
      </c>
      <c r="B168" s="38"/>
      <c r="C168" s="22" t="s">
        <v>85</v>
      </c>
      <c r="D168" s="39">
        <v>151.44499999999999</v>
      </c>
      <c r="E168" s="39">
        <v>130.95999999999998</v>
      </c>
      <c r="F168" s="39">
        <v>268.48</v>
      </c>
      <c r="G168" s="39">
        <v>303.32</v>
      </c>
      <c r="H168" s="39">
        <v>314</v>
      </c>
      <c r="I168" s="39">
        <v>44.274999999999999</v>
      </c>
      <c r="J168" s="39">
        <v>50.8</v>
      </c>
      <c r="K168" s="39">
        <v>52.575000000000003</v>
      </c>
      <c r="L168" s="39">
        <v>99.65</v>
      </c>
      <c r="M168" s="39">
        <v>231.56</v>
      </c>
      <c r="N168" s="39">
        <v>222.2</v>
      </c>
      <c r="O168" s="39">
        <v>172.97000000000003</v>
      </c>
      <c r="P168" s="39">
        <v>191.99</v>
      </c>
      <c r="Q168" s="39">
        <v>128.03</v>
      </c>
      <c r="R168" s="39">
        <v>62.76</v>
      </c>
      <c r="S168" s="39">
        <v>0</v>
      </c>
      <c r="T168" s="39">
        <v>35.4</v>
      </c>
      <c r="U168" s="39">
        <v>0</v>
      </c>
      <c r="V168" s="39">
        <v>0</v>
      </c>
      <c r="W168" s="39">
        <v>0</v>
      </c>
    </row>
    <row r="172" spans="1:23" x14ac:dyDescent="0.25"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A135"/>
  <sheetViews>
    <sheetView zoomScaleNormal="100" workbookViewId="0"/>
  </sheetViews>
  <sheetFormatPr defaultRowHeight="15" x14ac:dyDescent="0.25"/>
  <cols>
    <col min="1" max="2" width="9.140625" style="40"/>
    <col min="3" max="3" width="40.42578125" style="40" bestFit="1" customWidth="1"/>
    <col min="4" max="12" width="9.140625" style="40" customWidth="1"/>
    <col min="13" max="16384" width="9.140625" style="40"/>
  </cols>
  <sheetData>
    <row r="3" spans="3:25" ht="27" x14ac:dyDescent="0.35">
      <c r="C3" s="42" t="s">
        <v>58</v>
      </c>
    </row>
    <row r="4" spans="3:25" ht="15.75" x14ac:dyDescent="0.25">
      <c r="C4" s="43" t="s">
        <v>69</v>
      </c>
      <c r="D4" s="2">
        <v>2017</v>
      </c>
      <c r="E4" s="2">
        <f>D4+1</f>
        <v>2018</v>
      </c>
      <c r="F4" s="2">
        <f t="shared" ref="F4:Y4" si="0">E4+1</f>
        <v>2019</v>
      </c>
      <c r="G4" s="2">
        <f t="shared" si="0"/>
        <v>2020</v>
      </c>
      <c r="H4" s="2">
        <f t="shared" si="0"/>
        <v>2021</v>
      </c>
      <c r="I4" s="2">
        <f t="shared" si="0"/>
        <v>2022</v>
      </c>
      <c r="J4" s="2">
        <f t="shared" si="0"/>
        <v>2023</v>
      </c>
      <c r="K4" s="2">
        <f t="shared" si="0"/>
        <v>2024</v>
      </c>
      <c r="L4" s="2">
        <f t="shared" si="0"/>
        <v>2025</v>
      </c>
      <c r="M4" s="2">
        <f t="shared" si="0"/>
        <v>2026</v>
      </c>
      <c r="N4" s="2">
        <f t="shared" si="0"/>
        <v>2027</v>
      </c>
      <c r="O4" s="2">
        <f t="shared" si="0"/>
        <v>2028</v>
      </c>
      <c r="P4" s="2">
        <f t="shared" si="0"/>
        <v>2029</v>
      </c>
      <c r="Q4" s="2">
        <f t="shared" si="0"/>
        <v>2030</v>
      </c>
      <c r="R4" s="2">
        <f t="shared" si="0"/>
        <v>2031</v>
      </c>
      <c r="S4" s="2">
        <f t="shared" si="0"/>
        <v>2032</v>
      </c>
      <c r="T4" s="2">
        <f t="shared" si="0"/>
        <v>2033</v>
      </c>
      <c r="U4" s="2">
        <f t="shared" si="0"/>
        <v>2034</v>
      </c>
      <c r="V4" s="2">
        <f t="shared" si="0"/>
        <v>2035</v>
      </c>
      <c r="W4" s="2">
        <f t="shared" si="0"/>
        <v>2036</v>
      </c>
      <c r="X4" s="2">
        <f t="shared" si="0"/>
        <v>2037</v>
      </c>
      <c r="Y4" s="2">
        <f t="shared" si="0"/>
        <v>2038</v>
      </c>
    </row>
    <row r="5" spans="3:25" x14ac:dyDescent="0.25">
      <c r="C5" s="40" t="s">
        <v>73</v>
      </c>
      <c r="D5" s="44">
        <f>SUMIF($A$69:$A$500,$C5,D$69:D$500)</f>
        <v>0</v>
      </c>
      <c r="E5" s="44">
        <f t="shared" ref="E5:W5" si="1">SUMIF($A$69:$A$500,$C5,E$69:E$500)</f>
        <v>0</v>
      </c>
      <c r="F5" s="44">
        <f t="shared" si="1"/>
        <v>-280</v>
      </c>
      <c r="G5" s="44">
        <f t="shared" si="1"/>
        <v>0</v>
      </c>
      <c r="H5" s="44">
        <f t="shared" si="1"/>
        <v>-387</v>
      </c>
      <c r="I5" s="44">
        <f t="shared" si="1"/>
        <v>0</v>
      </c>
      <c r="J5" s="44">
        <f t="shared" si="1"/>
        <v>0</v>
      </c>
      <c r="K5" s="44">
        <f t="shared" si="1"/>
        <v>0</v>
      </c>
      <c r="L5" s="44">
        <f t="shared" si="1"/>
        <v>0</v>
      </c>
      <c r="M5" s="44">
        <f t="shared" si="1"/>
        <v>-82.3</v>
      </c>
      <c r="N5" s="44">
        <f t="shared" si="1"/>
        <v>0</v>
      </c>
      <c r="O5" s="44">
        <f t="shared" si="1"/>
        <v>-762</v>
      </c>
      <c r="P5" s="44">
        <f t="shared" si="1"/>
        <v>-354</v>
      </c>
      <c r="Q5" s="44">
        <f t="shared" si="1"/>
        <v>-357</v>
      </c>
      <c r="R5" s="44">
        <f t="shared" si="1"/>
        <v>-77.78</v>
      </c>
      <c r="S5" s="44">
        <f t="shared" si="1"/>
        <v>0</v>
      </c>
      <c r="T5" s="44">
        <f t="shared" si="1"/>
        <v>-359.3</v>
      </c>
      <c r="U5" s="44">
        <f t="shared" si="1"/>
        <v>0</v>
      </c>
      <c r="V5" s="44">
        <f t="shared" si="1"/>
        <v>-81.540000000000006</v>
      </c>
      <c r="W5" s="44">
        <f t="shared" si="1"/>
        <v>0</v>
      </c>
    </row>
    <row r="7" spans="3:25" ht="15.75" x14ac:dyDescent="0.25">
      <c r="C7" s="43" t="s">
        <v>70</v>
      </c>
      <c r="D7" s="2">
        <v>2017</v>
      </c>
      <c r="E7" s="2">
        <f>D7+1</f>
        <v>2018</v>
      </c>
      <c r="F7" s="2">
        <f t="shared" ref="F7:Y7" si="2">E7+1</f>
        <v>2019</v>
      </c>
      <c r="G7" s="2">
        <f t="shared" si="2"/>
        <v>2020</v>
      </c>
      <c r="H7" s="2">
        <f t="shared" si="2"/>
        <v>2021</v>
      </c>
      <c r="I7" s="2">
        <f t="shared" si="2"/>
        <v>2022</v>
      </c>
      <c r="J7" s="2">
        <f t="shared" si="2"/>
        <v>2023</v>
      </c>
      <c r="K7" s="2">
        <f t="shared" si="2"/>
        <v>2024</v>
      </c>
      <c r="L7" s="2">
        <f t="shared" si="2"/>
        <v>2025</v>
      </c>
      <c r="M7" s="2">
        <f t="shared" si="2"/>
        <v>2026</v>
      </c>
      <c r="N7" s="2">
        <f t="shared" si="2"/>
        <v>2027</v>
      </c>
      <c r="O7" s="2">
        <f t="shared" si="2"/>
        <v>2028</v>
      </c>
      <c r="P7" s="2">
        <f t="shared" si="2"/>
        <v>2029</v>
      </c>
      <c r="Q7" s="2">
        <f t="shared" si="2"/>
        <v>2030</v>
      </c>
      <c r="R7" s="2">
        <f t="shared" si="2"/>
        <v>2031</v>
      </c>
      <c r="S7" s="2">
        <f t="shared" si="2"/>
        <v>2032</v>
      </c>
      <c r="T7" s="2">
        <f t="shared" si="2"/>
        <v>2033</v>
      </c>
      <c r="U7" s="2">
        <f t="shared" si="2"/>
        <v>2034</v>
      </c>
      <c r="V7" s="2">
        <f t="shared" si="2"/>
        <v>2035</v>
      </c>
      <c r="W7" s="2">
        <f t="shared" si="2"/>
        <v>2036</v>
      </c>
      <c r="X7" s="2">
        <f t="shared" si="2"/>
        <v>2037</v>
      </c>
      <c r="Y7" s="2">
        <f t="shared" si="2"/>
        <v>2038</v>
      </c>
    </row>
    <row r="8" spans="3:25" x14ac:dyDescent="0.25">
      <c r="C8" s="40" t="s">
        <v>73</v>
      </c>
      <c r="D8" s="44">
        <f>D5</f>
        <v>0</v>
      </c>
      <c r="E8" s="44">
        <f>E5+D8</f>
        <v>0</v>
      </c>
      <c r="F8" s="44">
        <f t="shared" ref="F8:W8" si="3">F5+E8</f>
        <v>-280</v>
      </c>
      <c r="G8" s="44">
        <f t="shared" si="3"/>
        <v>-280</v>
      </c>
      <c r="H8" s="44">
        <f t="shared" si="3"/>
        <v>-667</v>
      </c>
      <c r="I8" s="44">
        <f t="shared" si="3"/>
        <v>-667</v>
      </c>
      <c r="J8" s="44">
        <f t="shared" si="3"/>
        <v>-667</v>
      </c>
      <c r="K8" s="44">
        <f t="shared" si="3"/>
        <v>-667</v>
      </c>
      <c r="L8" s="44">
        <f t="shared" si="3"/>
        <v>-667</v>
      </c>
      <c r="M8" s="44">
        <f t="shared" si="3"/>
        <v>-749.3</v>
      </c>
      <c r="N8" s="44">
        <f t="shared" si="3"/>
        <v>-749.3</v>
      </c>
      <c r="O8" s="44">
        <f t="shared" si="3"/>
        <v>-1511.3</v>
      </c>
      <c r="P8" s="44">
        <f t="shared" si="3"/>
        <v>-1865.3</v>
      </c>
      <c r="Q8" s="44">
        <f t="shared" si="3"/>
        <v>-2222.3000000000002</v>
      </c>
      <c r="R8" s="44">
        <f t="shared" si="3"/>
        <v>-2300.0800000000004</v>
      </c>
      <c r="S8" s="44">
        <f t="shared" si="3"/>
        <v>-2300.0800000000004</v>
      </c>
      <c r="T8" s="44">
        <f t="shared" si="3"/>
        <v>-2659.3800000000006</v>
      </c>
      <c r="U8" s="44">
        <f t="shared" si="3"/>
        <v>-2659.3800000000006</v>
      </c>
      <c r="V8" s="44">
        <f t="shared" si="3"/>
        <v>-2740.9200000000005</v>
      </c>
      <c r="W8" s="44">
        <f t="shared" si="3"/>
        <v>-2740.9200000000005</v>
      </c>
    </row>
    <row r="10" spans="3:25" ht="27" x14ac:dyDescent="0.35">
      <c r="C10" s="42" t="s">
        <v>71</v>
      </c>
    </row>
    <row r="11" spans="3:25" ht="15.75" x14ac:dyDescent="0.25">
      <c r="C11" s="43" t="s">
        <v>69</v>
      </c>
      <c r="D11" s="2">
        <v>2017</v>
      </c>
      <c r="E11" s="2">
        <f>D11+1</f>
        <v>2018</v>
      </c>
      <c r="F11" s="2">
        <f t="shared" ref="F11:Y11" si="4">E11+1</f>
        <v>2019</v>
      </c>
      <c r="G11" s="2">
        <f t="shared" si="4"/>
        <v>2020</v>
      </c>
      <c r="H11" s="2">
        <f t="shared" si="4"/>
        <v>2021</v>
      </c>
      <c r="I11" s="2">
        <f t="shared" si="4"/>
        <v>2022</v>
      </c>
      <c r="J11" s="2">
        <f t="shared" si="4"/>
        <v>2023</v>
      </c>
      <c r="K11" s="2">
        <f t="shared" si="4"/>
        <v>2024</v>
      </c>
      <c r="L11" s="2">
        <f t="shared" si="4"/>
        <v>2025</v>
      </c>
      <c r="M11" s="2">
        <f t="shared" si="4"/>
        <v>2026</v>
      </c>
      <c r="N11" s="2">
        <f t="shared" si="4"/>
        <v>2027</v>
      </c>
      <c r="O11" s="2">
        <f t="shared" si="4"/>
        <v>2028</v>
      </c>
      <c r="P11" s="2">
        <f t="shared" si="4"/>
        <v>2029</v>
      </c>
      <c r="Q11" s="2">
        <f t="shared" si="4"/>
        <v>2030</v>
      </c>
      <c r="R11" s="2">
        <f t="shared" si="4"/>
        <v>2031</v>
      </c>
      <c r="S11" s="2">
        <f t="shared" si="4"/>
        <v>2032</v>
      </c>
      <c r="T11" s="2">
        <f t="shared" si="4"/>
        <v>2033</v>
      </c>
      <c r="U11" s="2">
        <f t="shared" si="4"/>
        <v>2034</v>
      </c>
      <c r="V11" s="2">
        <f t="shared" si="4"/>
        <v>2035</v>
      </c>
      <c r="W11" s="2">
        <f t="shared" si="4"/>
        <v>2036</v>
      </c>
      <c r="X11" s="2">
        <f t="shared" si="4"/>
        <v>2037</v>
      </c>
      <c r="Y11" s="2">
        <f t="shared" si="4"/>
        <v>2038</v>
      </c>
    </row>
    <row r="12" spans="3:25" x14ac:dyDescent="0.25">
      <c r="C12" s="40" t="s">
        <v>59</v>
      </c>
      <c r="D12" s="44">
        <f>SUMIF($A$69:$A$500,$C12,D$69:D$500)</f>
        <v>0</v>
      </c>
      <c r="E12" s="44">
        <f t="shared" ref="E12:T21" si="5">SUMIF($A$69:$A$500,$C12,E$69:E$500)</f>
        <v>0</v>
      </c>
      <c r="F12" s="44">
        <f t="shared" si="5"/>
        <v>0</v>
      </c>
      <c r="G12" s="44">
        <f t="shared" si="5"/>
        <v>0</v>
      </c>
      <c r="H12" s="44">
        <f t="shared" si="5"/>
        <v>1100</v>
      </c>
      <c r="I12" s="44">
        <f t="shared" si="5"/>
        <v>0</v>
      </c>
      <c r="J12" s="44">
        <f t="shared" si="5"/>
        <v>0</v>
      </c>
      <c r="K12" s="44">
        <f t="shared" si="5"/>
        <v>0</v>
      </c>
      <c r="L12" s="44">
        <f t="shared" si="5"/>
        <v>0</v>
      </c>
      <c r="M12" s="44">
        <f t="shared" si="5"/>
        <v>0</v>
      </c>
      <c r="N12" s="44">
        <f t="shared" si="5"/>
        <v>0</v>
      </c>
      <c r="O12" s="44">
        <f t="shared" si="5"/>
        <v>0</v>
      </c>
      <c r="P12" s="44">
        <f t="shared" si="5"/>
        <v>0</v>
      </c>
      <c r="Q12" s="44">
        <f t="shared" si="5"/>
        <v>0</v>
      </c>
      <c r="R12" s="44">
        <f t="shared" si="5"/>
        <v>85.498999999999995</v>
      </c>
      <c r="S12" s="44">
        <f t="shared" si="5"/>
        <v>0</v>
      </c>
      <c r="T12" s="44">
        <f t="shared" si="5"/>
        <v>0</v>
      </c>
      <c r="U12" s="44">
        <f t="shared" ref="U12:W21" si="6">SUMIF($A$69:$A$500,$C12,U$69:U$500)</f>
        <v>0</v>
      </c>
      <c r="V12" s="44">
        <f t="shared" si="6"/>
        <v>0</v>
      </c>
      <c r="W12" s="44">
        <f t="shared" si="6"/>
        <v>773.98800000000006</v>
      </c>
    </row>
    <row r="13" spans="3:25" x14ac:dyDescent="0.25">
      <c r="C13" s="40" t="s">
        <v>60</v>
      </c>
      <c r="D13" s="44">
        <f t="shared" ref="D13:D21" si="7">SUMIF($A$69:$A$500,$C13,D$69:D$500)</f>
        <v>0</v>
      </c>
      <c r="E13" s="44">
        <f t="shared" si="5"/>
        <v>0</v>
      </c>
      <c r="F13" s="44">
        <f t="shared" si="5"/>
        <v>0</v>
      </c>
      <c r="G13" s="44">
        <f t="shared" si="5"/>
        <v>0</v>
      </c>
      <c r="H13" s="44">
        <f t="shared" si="5"/>
        <v>0</v>
      </c>
      <c r="I13" s="44">
        <f t="shared" si="5"/>
        <v>0</v>
      </c>
      <c r="J13" s="44">
        <f t="shared" si="5"/>
        <v>0</v>
      </c>
      <c r="K13" s="44">
        <f t="shared" si="5"/>
        <v>0</v>
      </c>
      <c r="L13" s="44">
        <f t="shared" si="5"/>
        <v>0</v>
      </c>
      <c r="M13" s="44">
        <f t="shared" si="5"/>
        <v>0</v>
      </c>
      <c r="N13" s="44">
        <f t="shared" si="5"/>
        <v>0</v>
      </c>
      <c r="O13" s="44">
        <f t="shared" si="5"/>
        <v>11.44</v>
      </c>
      <c r="P13" s="44">
        <f t="shared" si="5"/>
        <v>96.875</v>
      </c>
      <c r="Q13" s="44">
        <f t="shared" si="5"/>
        <v>0</v>
      </c>
      <c r="R13" s="44">
        <f t="shared" si="5"/>
        <v>117.92599999999999</v>
      </c>
      <c r="S13" s="44">
        <f t="shared" si="5"/>
        <v>236.63</v>
      </c>
      <c r="T13" s="44">
        <f t="shared" si="5"/>
        <v>225.84500000000003</v>
      </c>
      <c r="U13" s="44">
        <f t="shared" si="6"/>
        <v>48.291000000000004</v>
      </c>
      <c r="V13" s="44">
        <f t="shared" si="6"/>
        <v>290.57600000000002</v>
      </c>
      <c r="W13" s="44">
        <f t="shared" si="6"/>
        <v>12.589</v>
      </c>
    </row>
    <row r="14" spans="3:25" x14ac:dyDescent="0.25">
      <c r="C14" s="40" t="s">
        <v>68</v>
      </c>
      <c r="D14" s="44">
        <f t="shared" si="7"/>
        <v>0</v>
      </c>
      <c r="E14" s="44">
        <f t="shared" si="5"/>
        <v>0</v>
      </c>
      <c r="F14" s="44">
        <f t="shared" si="5"/>
        <v>0</v>
      </c>
      <c r="G14" s="44">
        <f t="shared" si="5"/>
        <v>0</v>
      </c>
      <c r="H14" s="44">
        <f t="shared" si="5"/>
        <v>0</v>
      </c>
      <c r="I14" s="44">
        <f t="shared" si="5"/>
        <v>0</v>
      </c>
      <c r="J14" s="44">
        <f t="shared" si="5"/>
        <v>0</v>
      </c>
      <c r="K14" s="44">
        <f t="shared" si="5"/>
        <v>0</v>
      </c>
      <c r="L14" s="44">
        <f t="shared" si="5"/>
        <v>0</v>
      </c>
      <c r="M14" s="44">
        <f t="shared" si="5"/>
        <v>0</v>
      </c>
      <c r="N14" s="44">
        <f t="shared" si="5"/>
        <v>0</v>
      </c>
      <c r="O14" s="44">
        <f t="shared" si="5"/>
        <v>0</v>
      </c>
      <c r="P14" s="44">
        <f t="shared" si="5"/>
        <v>0</v>
      </c>
      <c r="Q14" s="44">
        <f t="shared" si="5"/>
        <v>0</v>
      </c>
      <c r="R14" s="44">
        <f t="shared" si="5"/>
        <v>0</v>
      </c>
      <c r="S14" s="44">
        <f t="shared" si="5"/>
        <v>0</v>
      </c>
      <c r="T14" s="44">
        <f t="shared" si="5"/>
        <v>0</v>
      </c>
      <c r="U14" s="44">
        <f t="shared" si="6"/>
        <v>0</v>
      </c>
      <c r="V14" s="44">
        <f t="shared" si="6"/>
        <v>0</v>
      </c>
      <c r="W14" s="44">
        <f t="shared" si="6"/>
        <v>0</v>
      </c>
    </row>
    <row r="15" spans="3:25" x14ac:dyDescent="0.25">
      <c r="C15" s="40" t="s">
        <v>65</v>
      </c>
      <c r="D15" s="44">
        <f t="shared" si="7"/>
        <v>0</v>
      </c>
      <c r="E15" s="44">
        <f t="shared" si="5"/>
        <v>0</v>
      </c>
      <c r="F15" s="44">
        <f t="shared" si="5"/>
        <v>0</v>
      </c>
      <c r="G15" s="44">
        <f t="shared" si="5"/>
        <v>0</v>
      </c>
      <c r="H15" s="44">
        <f t="shared" si="5"/>
        <v>0</v>
      </c>
      <c r="I15" s="44">
        <f t="shared" si="5"/>
        <v>0</v>
      </c>
      <c r="J15" s="44">
        <f t="shared" si="5"/>
        <v>0</v>
      </c>
      <c r="K15" s="44">
        <f t="shared" si="5"/>
        <v>0</v>
      </c>
      <c r="L15" s="44">
        <f t="shared" si="5"/>
        <v>0</v>
      </c>
      <c r="M15" s="44">
        <f t="shared" si="5"/>
        <v>0</v>
      </c>
      <c r="N15" s="44">
        <f t="shared" si="5"/>
        <v>0</v>
      </c>
      <c r="O15" s="44">
        <f t="shared" si="5"/>
        <v>0</v>
      </c>
      <c r="P15" s="44">
        <f t="shared" si="5"/>
        <v>0</v>
      </c>
      <c r="Q15" s="44">
        <f t="shared" si="5"/>
        <v>0</v>
      </c>
      <c r="R15" s="44">
        <f t="shared" si="5"/>
        <v>0</v>
      </c>
      <c r="S15" s="44">
        <f t="shared" si="5"/>
        <v>0</v>
      </c>
      <c r="T15" s="44">
        <f t="shared" si="5"/>
        <v>0</v>
      </c>
      <c r="U15" s="44">
        <f t="shared" si="6"/>
        <v>0</v>
      </c>
      <c r="V15" s="44">
        <f t="shared" si="6"/>
        <v>0</v>
      </c>
      <c r="W15" s="44">
        <f t="shared" si="6"/>
        <v>0</v>
      </c>
    </row>
    <row r="16" spans="3:25" x14ac:dyDescent="0.25">
      <c r="C16" s="40" t="s">
        <v>72</v>
      </c>
      <c r="D16" s="44">
        <f t="shared" si="7"/>
        <v>0</v>
      </c>
      <c r="E16" s="44">
        <f t="shared" si="5"/>
        <v>0</v>
      </c>
      <c r="F16" s="44">
        <f t="shared" si="5"/>
        <v>0</v>
      </c>
      <c r="G16" s="44">
        <f t="shared" si="5"/>
        <v>0</v>
      </c>
      <c r="H16" s="44">
        <f t="shared" si="5"/>
        <v>0</v>
      </c>
      <c r="I16" s="44">
        <f t="shared" si="5"/>
        <v>0</v>
      </c>
      <c r="J16" s="44">
        <f t="shared" si="5"/>
        <v>0</v>
      </c>
      <c r="K16" s="44">
        <f t="shared" si="5"/>
        <v>0</v>
      </c>
      <c r="L16" s="44">
        <f t="shared" si="5"/>
        <v>0</v>
      </c>
      <c r="M16" s="44">
        <f t="shared" si="5"/>
        <v>0</v>
      </c>
      <c r="N16" s="44">
        <f t="shared" si="5"/>
        <v>0</v>
      </c>
      <c r="O16" s="44">
        <f t="shared" si="5"/>
        <v>0</v>
      </c>
      <c r="P16" s="44">
        <f t="shared" si="5"/>
        <v>0</v>
      </c>
      <c r="Q16" s="44">
        <f t="shared" si="5"/>
        <v>0</v>
      </c>
      <c r="R16" s="44">
        <f t="shared" si="5"/>
        <v>0</v>
      </c>
      <c r="S16" s="44">
        <f t="shared" si="5"/>
        <v>0</v>
      </c>
      <c r="T16" s="44">
        <f t="shared" si="5"/>
        <v>0</v>
      </c>
      <c r="U16" s="44">
        <f t="shared" si="6"/>
        <v>0</v>
      </c>
      <c r="V16" s="44">
        <f t="shared" si="6"/>
        <v>0</v>
      </c>
      <c r="W16" s="44">
        <f t="shared" si="6"/>
        <v>0</v>
      </c>
    </row>
    <row r="17" spans="3:27" x14ac:dyDescent="0.25">
      <c r="C17" s="40" t="s">
        <v>93</v>
      </c>
      <c r="D17" s="44">
        <f t="shared" si="7"/>
        <v>0</v>
      </c>
      <c r="E17" s="44">
        <f t="shared" si="5"/>
        <v>0</v>
      </c>
      <c r="F17" s="44">
        <f t="shared" si="5"/>
        <v>0</v>
      </c>
      <c r="G17" s="44">
        <f t="shared" si="5"/>
        <v>0</v>
      </c>
      <c r="H17" s="44">
        <f t="shared" si="5"/>
        <v>0</v>
      </c>
      <c r="I17" s="44">
        <f t="shared" si="5"/>
        <v>0</v>
      </c>
      <c r="J17" s="44">
        <f t="shared" si="5"/>
        <v>0</v>
      </c>
      <c r="K17" s="44">
        <f t="shared" si="5"/>
        <v>0</v>
      </c>
      <c r="L17" s="44">
        <f t="shared" si="5"/>
        <v>0</v>
      </c>
      <c r="M17" s="44">
        <f t="shared" si="5"/>
        <v>0</v>
      </c>
      <c r="N17" s="44">
        <f t="shared" si="5"/>
        <v>0</v>
      </c>
      <c r="O17" s="44">
        <f t="shared" si="5"/>
        <v>0</v>
      </c>
      <c r="P17" s="44">
        <f t="shared" si="5"/>
        <v>0</v>
      </c>
      <c r="Q17" s="44">
        <f t="shared" si="5"/>
        <v>0</v>
      </c>
      <c r="R17" s="44">
        <f t="shared" si="5"/>
        <v>0</v>
      </c>
      <c r="S17" s="44">
        <f t="shared" si="5"/>
        <v>0</v>
      </c>
      <c r="T17" s="44">
        <f t="shared" si="5"/>
        <v>0</v>
      </c>
      <c r="U17" s="44">
        <f t="shared" si="6"/>
        <v>0</v>
      </c>
      <c r="V17" s="44">
        <f t="shared" si="6"/>
        <v>0</v>
      </c>
      <c r="W17" s="44">
        <f t="shared" si="6"/>
        <v>0</v>
      </c>
    </row>
    <row r="18" spans="3:27" x14ac:dyDescent="0.25">
      <c r="C18" s="40" t="s">
        <v>75</v>
      </c>
      <c r="D18" s="44">
        <f t="shared" si="7"/>
        <v>0</v>
      </c>
      <c r="E18" s="44">
        <f t="shared" si="5"/>
        <v>0</v>
      </c>
      <c r="F18" s="44">
        <f t="shared" si="5"/>
        <v>0</v>
      </c>
      <c r="G18" s="44">
        <f t="shared" si="5"/>
        <v>0</v>
      </c>
      <c r="H18" s="44">
        <f t="shared" si="5"/>
        <v>0</v>
      </c>
      <c r="I18" s="44">
        <f t="shared" si="5"/>
        <v>0</v>
      </c>
      <c r="J18" s="44">
        <f t="shared" si="5"/>
        <v>0</v>
      </c>
      <c r="K18" s="44">
        <f t="shared" si="5"/>
        <v>0</v>
      </c>
      <c r="L18" s="44">
        <f t="shared" si="5"/>
        <v>0</v>
      </c>
      <c r="M18" s="44">
        <f t="shared" si="5"/>
        <v>0</v>
      </c>
      <c r="N18" s="44">
        <f t="shared" si="5"/>
        <v>0</v>
      </c>
      <c r="O18" s="44">
        <f t="shared" si="5"/>
        <v>0</v>
      </c>
      <c r="P18" s="44">
        <f t="shared" si="5"/>
        <v>0</v>
      </c>
      <c r="Q18" s="44">
        <f t="shared" si="5"/>
        <v>0</v>
      </c>
      <c r="R18" s="44">
        <f t="shared" si="5"/>
        <v>0</v>
      </c>
      <c r="S18" s="44">
        <f t="shared" si="5"/>
        <v>0</v>
      </c>
      <c r="T18" s="44">
        <f t="shared" si="5"/>
        <v>0</v>
      </c>
      <c r="U18" s="44">
        <f t="shared" si="6"/>
        <v>0</v>
      </c>
      <c r="V18" s="44">
        <f t="shared" si="6"/>
        <v>0</v>
      </c>
      <c r="W18" s="44">
        <f t="shared" si="6"/>
        <v>0</v>
      </c>
    </row>
    <row r="19" spans="3:27" x14ac:dyDescent="0.25">
      <c r="C19" s="40" t="s">
        <v>76</v>
      </c>
      <c r="D19" s="44">
        <f t="shared" si="7"/>
        <v>0</v>
      </c>
      <c r="E19" s="44">
        <f t="shared" si="5"/>
        <v>0</v>
      </c>
      <c r="F19" s="44">
        <f t="shared" si="5"/>
        <v>0</v>
      </c>
      <c r="G19" s="44">
        <f t="shared" si="5"/>
        <v>0</v>
      </c>
      <c r="H19" s="44">
        <f t="shared" si="5"/>
        <v>0</v>
      </c>
      <c r="I19" s="44">
        <f t="shared" si="5"/>
        <v>0</v>
      </c>
      <c r="J19" s="44">
        <f t="shared" si="5"/>
        <v>0</v>
      </c>
      <c r="K19" s="44">
        <f t="shared" si="5"/>
        <v>0</v>
      </c>
      <c r="L19" s="44">
        <f t="shared" si="5"/>
        <v>0</v>
      </c>
      <c r="M19" s="44">
        <f t="shared" si="5"/>
        <v>0</v>
      </c>
      <c r="N19" s="44">
        <f t="shared" si="5"/>
        <v>0</v>
      </c>
      <c r="O19" s="44">
        <f t="shared" si="5"/>
        <v>0</v>
      </c>
      <c r="P19" s="44">
        <f t="shared" si="5"/>
        <v>0</v>
      </c>
      <c r="Q19" s="44">
        <f t="shared" si="5"/>
        <v>0</v>
      </c>
      <c r="R19" s="44">
        <f t="shared" si="5"/>
        <v>0</v>
      </c>
      <c r="S19" s="44">
        <f t="shared" si="5"/>
        <v>0</v>
      </c>
      <c r="T19" s="44">
        <f t="shared" si="5"/>
        <v>0</v>
      </c>
      <c r="U19" s="44">
        <f t="shared" si="6"/>
        <v>0</v>
      </c>
      <c r="V19" s="44">
        <f t="shared" si="6"/>
        <v>0</v>
      </c>
      <c r="W19" s="44">
        <f t="shared" si="6"/>
        <v>0</v>
      </c>
    </row>
    <row r="20" spans="3:27" x14ac:dyDescent="0.25">
      <c r="C20" s="40" t="s">
        <v>77</v>
      </c>
      <c r="D20" s="44">
        <f t="shared" si="7"/>
        <v>0</v>
      </c>
      <c r="E20" s="44">
        <f t="shared" si="5"/>
        <v>0</v>
      </c>
      <c r="F20" s="44">
        <f t="shared" si="5"/>
        <v>0</v>
      </c>
      <c r="G20" s="44">
        <f t="shared" si="5"/>
        <v>0</v>
      </c>
      <c r="H20" s="44">
        <f t="shared" si="5"/>
        <v>0</v>
      </c>
      <c r="I20" s="44">
        <f t="shared" si="5"/>
        <v>0</v>
      </c>
      <c r="J20" s="44">
        <f t="shared" si="5"/>
        <v>0</v>
      </c>
      <c r="K20" s="44">
        <f t="shared" si="5"/>
        <v>0</v>
      </c>
      <c r="L20" s="44">
        <f t="shared" si="5"/>
        <v>0</v>
      </c>
      <c r="M20" s="44">
        <f t="shared" si="5"/>
        <v>0</v>
      </c>
      <c r="N20" s="44">
        <f t="shared" si="5"/>
        <v>0</v>
      </c>
      <c r="O20" s="44">
        <f t="shared" si="5"/>
        <v>0</v>
      </c>
      <c r="P20" s="44">
        <f t="shared" si="5"/>
        <v>0</v>
      </c>
      <c r="Q20" s="44">
        <f t="shared" si="5"/>
        <v>0</v>
      </c>
      <c r="R20" s="44">
        <f t="shared" si="5"/>
        <v>0</v>
      </c>
      <c r="S20" s="44">
        <f t="shared" si="5"/>
        <v>0</v>
      </c>
      <c r="T20" s="44">
        <f t="shared" si="5"/>
        <v>0</v>
      </c>
      <c r="U20" s="44">
        <f t="shared" si="6"/>
        <v>0</v>
      </c>
      <c r="V20" s="44">
        <f t="shared" si="6"/>
        <v>0</v>
      </c>
      <c r="W20" s="44">
        <f t="shared" si="6"/>
        <v>0</v>
      </c>
    </row>
    <row r="21" spans="3:27" x14ac:dyDescent="0.25">
      <c r="C21" s="40" t="s">
        <v>78</v>
      </c>
      <c r="D21" s="44">
        <f t="shared" si="7"/>
        <v>0</v>
      </c>
      <c r="E21" s="44">
        <f t="shared" si="5"/>
        <v>0</v>
      </c>
      <c r="F21" s="44">
        <f t="shared" si="5"/>
        <v>0</v>
      </c>
      <c r="G21" s="44">
        <f t="shared" si="5"/>
        <v>0</v>
      </c>
      <c r="H21" s="44">
        <f t="shared" si="5"/>
        <v>0</v>
      </c>
      <c r="I21" s="44">
        <f t="shared" si="5"/>
        <v>0</v>
      </c>
      <c r="J21" s="44">
        <f t="shared" si="5"/>
        <v>0</v>
      </c>
      <c r="K21" s="44">
        <f t="shared" si="5"/>
        <v>0</v>
      </c>
      <c r="L21" s="44">
        <f t="shared" si="5"/>
        <v>0</v>
      </c>
      <c r="M21" s="44">
        <f t="shared" si="5"/>
        <v>0</v>
      </c>
      <c r="N21" s="44">
        <f t="shared" si="5"/>
        <v>0</v>
      </c>
      <c r="O21" s="44">
        <f t="shared" si="5"/>
        <v>0</v>
      </c>
      <c r="P21" s="44">
        <f t="shared" si="5"/>
        <v>0</v>
      </c>
      <c r="Q21" s="44">
        <f t="shared" si="5"/>
        <v>0</v>
      </c>
      <c r="R21" s="44">
        <f t="shared" si="5"/>
        <v>0</v>
      </c>
      <c r="S21" s="44">
        <f t="shared" si="5"/>
        <v>0</v>
      </c>
      <c r="T21" s="44">
        <f t="shared" si="5"/>
        <v>0</v>
      </c>
      <c r="U21" s="44">
        <f t="shared" si="6"/>
        <v>0</v>
      </c>
      <c r="V21" s="44">
        <f t="shared" si="6"/>
        <v>0</v>
      </c>
      <c r="W21" s="44">
        <f t="shared" si="6"/>
        <v>0</v>
      </c>
    </row>
    <row r="22" spans="3:27" x14ac:dyDescent="0.25"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</row>
    <row r="23" spans="3:27" ht="15.75" x14ac:dyDescent="0.25">
      <c r="C23" s="43" t="s">
        <v>70</v>
      </c>
      <c r="D23" s="2">
        <v>2017</v>
      </c>
      <c r="E23" s="2">
        <f>D23+1</f>
        <v>2018</v>
      </c>
      <c r="F23" s="2">
        <f t="shared" ref="F23:Y23" si="8">E23+1</f>
        <v>2019</v>
      </c>
      <c r="G23" s="2">
        <f t="shared" si="8"/>
        <v>2020</v>
      </c>
      <c r="H23" s="2">
        <f t="shared" si="8"/>
        <v>2021</v>
      </c>
      <c r="I23" s="2">
        <f t="shared" si="8"/>
        <v>2022</v>
      </c>
      <c r="J23" s="2">
        <f t="shared" si="8"/>
        <v>2023</v>
      </c>
      <c r="K23" s="2">
        <f t="shared" si="8"/>
        <v>2024</v>
      </c>
      <c r="L23" s="2">
        <f t="shared" si="8"/>
        <v>2025</v>
      </c>
      <c r="M23" s="2">
        <f t="shared" si="8"/>
        <v>2026</v>
      </c>
      <c r="N23" s="2">
        <f t="shared" si="8"/>
        <v>2027</v>
      </c>
      <c r="O23" s="2">
        <f t="shared" si="8"/>
        <v>2028</v>
      </c>
      <c r="P23" s="2">
        <f t="shared" si="8"/>
        <v>2029</v>
      </c>
      <c r="Q23" s="2">
        <f t="shared" si="8"/>
        <v>2030</v>
      </c>
      <c r="R23" s="2">
        <f t="shared" si="8"/>
        <v>2031</v>
      </c>
      <c r="S23" s="2">
        <f t="shared" si="8"/>
        <v>2032</v>
      </c>
      <c r="T23" s="2">
        <f t="shared" si="8"/>
        <v>2033</v>
      </c>
      <c r="U23" s="2">
        <f t="shared" si="8"/>
        <v>2034</v>
      </c>
      <c r="V23" s="2">
        <f t="shared" si="8"/>
        <v>2035</v>
      </c>
      <c r="W23" s="2">
        <f t="shared" si="8"/>
        <v>2036</v>
      </c>
      <c r="X23" s="2">
        <f t="shared" si="8"/>
        <v>2037</v>
      </c>
      <c r="Y23" s="2">
        <f t="shared" si="8"/>
        <v>2038</v>
      </c>
      <c r="Z23" s="47"/>
      <c r="AA23" s="47"/>
    </row>
    <row r="24" spans="3:27" x14ac:dyDescent="0.25">
      <c r="C24" s="40" t="s">
        <v>59</v>
      </c>
      <c r="D24" s="44">
        <f t="shared" ref="D24:D29" si="9">D12</f>
        <v>0</v>
      </c>
      <c r="E24" s="44">
        <f t="shared" ref="E24:W29" si="10">D24+E12</f>
        <v>0</v>
      </c>
      <c r="F24" s="44">
        <f t="shared" si="10"/>
        <v>0</v>
      </c>
      <c r="G24" s="44">
        <f t="shared" si="10"/>
        <v>0</v>
      </c>
      <c r="H24" s="44">
        <f t="shared" si="10"/>
        <v>1100</v>
      </c>
      <c r="I24" s="44">
        <f t="shared" si="10"/>
        <v>1100</v>
      </c>
      <c r="J24" s="44">
        <f t="shared" si="10"/>
        <v>1100</v>
      </c>
      <c r="K24" s="44">
        <f t="shared" si="10"/>
        <v>1100</v>
      </c>
      <c r="L24" s="44">
        <f t="shared" si="10"/>
        <v>1100</v>
      </c>
      <c r="M24" s="44">
        <f t="shared" si="10"/>
        <v>1100</v>
      </c>
      <c r="N24" s="44">
        <f t="shared" si="10"/>
        <v>1100</v>
      </c>
      <c r="O24" s="44">
        <f t="shared" si="10"/>
        <v>1100</v>
      </c>
      <c r="P24" s="44">
        <f t="shared" si="10"/>
        <v>1100</v>
      </c>
      <c r="Q24" s="44">
        <f t="shared" si="10"/>
        <v>1100</v>
      </c>
      <c r="R24" s="44">
        <f t="shared" si="10"/>
        <v>1185.499</v>
      </c>
      <c r="S24" s="44">
        <f t="shared" si="10"/>
        <v>1185.499</v>
      </c>
      <c r="T24" s="44">
        <f t="shared" si="10"/>
        <v>1185.499</v>
      </c>
      <c r="U24" s="44">
        <f t="shared" si="10"/>
        <v>1185.499</v>
      </c>
      <c r="V24" s="44">
        <f t="shared" si="10"/>
        <v>1185.499</v>
      </c>
      <c r="W24" s="44">
        <f t="shared" si="10"/>
        <v>1959.4870000000001</v>
      </c>
      <c r="Y24" s="44"/>
      <c r="Z24" s="44"/>
      <c r="AA24" s="44"/>
    </row>
    <row r="25" spans="3:27" x14ac:dyDescent="0.25">
      <c r="C25" s="40" t="s">
        <v>60</v>
      </c>
      <c r="D25" s="44">
        <f t="shared" si="9"/>
        <v>0</v>
      </c>
      <c r="E25" s="44">
        <f t="shared" si="10"/>
        <v>0</v>
      </c>
      <c r="F25" s="44">
        <f t="shared" si="10"/>
        <v>0</v>
      </c>
      <c r="G25" s="44">
        <f t="shared" si="10"/>
        <v>0</v>
      </c>
      <c r="H25" s="44">
        <f t="shared" si="10"/>
        <v>0</v>
      </c>
      <c r="I25" s="44">
        <f t="shared" si="10"/>
        <v>0</v>
      </c>
      <c r="J25" s="44">
        <f t="shared" si="10"/>
        <v>0</v>
      </c>
      <c r="K25" s="44">
        <f t="shared" si="10"/>
        <v>0</v>
      </c>
      <c r="L25" s="44">
        <f t="shared" si="10"/>
        <v>0</v>
      </c>
      <c r="M25" s="44">
        <f t="shared" si="10"/>
        <v>0</v>
      </c>
      <c r="N25" s="44">
        <f t="shared" si="10"/>
        <v>0</v>
      </c>
      <c r="O25" s="44">
        <f t="shared" si="10"/>
        <v>11.44</v>
      </c>
      <c r="P25" s="44">
        <f t="shared" si="10"/>
        <v>108.315</v>
      </c>
      <c r="Q25" s="44">
        <f t="shared" si="10"/>
        <v>108.315</v>
      </c>
      <c r="R25" s="44">
        <f t="shared" si="10"/>
        <v>226.24099999999999</v>
      </c>
      <c r="S25" s="44">
        <f t="shared" si="10"/>
        <v>462.87099999999998</v>
      </c>
      <c r="T25" s="44">
        <f t="shared" si="10"/>
        <v>688.71600000000001</v>
      </c>
      <c r="U25" s="44">
        <f t="shared" si="10"/>
        <v>737.00700000000006</v>
      </c>
      <c r="V25" s="44">
        <f t="shared" si="10"/>
        <v>1027.5830000000001</v>
      </c>
      <c r="W25" s="44">
        <f t="shared" si="10"/>
        <v>1040.172</v>
      </c>
    </row>
    <row r="26" spans="3:27" x14ac:dyDescent="0.25">
      <c r="C26" s="40" t="s">
        <v>68</v>
      </c>
      <c r="D26" s="44">
        <f t="shared" si="9"/>
        <v>0</v>
      </c>
      <c r="E26" s="44">
        <f t="shared" si="10"/>
        <v>0</v>
      </c>
      <c r="F26" s="44">
        <f t="shared" si="10"/>
        <v>0</v>
      </c>
      <c r="G26" s="44">
        <f t="shared" si="10"/>
        <v>0</v>
      </c>
      <c r="H26" s="44">
        <f t="shared" si="10"/>
        <v>0</v>
      </c>
      <c r="I26" s="44">
        <f t="shared" si="10"/>
        <v>0</v>
      </c>
      <c r="J26" s="44">
        <f t="shared" si="10"/>
        <v>0</v>
      </c>
      <c r="K26" s="44">
        <f t="shared" si="10"/>
        <v>0</v>
      </c>
      <c r="L26" s="44">
        <f t="shared" si="10"/>
        <v>0</v>
      </c>
      <c r="M26" s="44">
        <f t="shared" si="10"/>
        <v>0</v>
      </c>
      <c r="N26" s="44">
        <f t="shared" si="10"/>
        <v>0</v>
      </c>
      <c r="O26" s="44">
        <f t="shared" si="10"/>
        <v>0</v>
      </c>
      <c r="P26" s="44">
        <f t="shared" si="10"/>
        <v>0</v>
      </c>
      <c r="Q26" s="44">
        <f t="shared" si="10"/>
        <v>0</v>
      </c>
      <c r="R26" s="44">
        <f t="shared" si="10"/>
        <v>0</v>
      </c>
      <c r="S26" s="44">
        <f t="shared" si="10"/>
        <v>0</v>
      </c>
      <c r="T26" s="44">
        <f t="shared" si="10"/>
        <v>0</v>
      </c>
      <c r="U26" s="44">
        <f t="shared" si="10"/>
        <v>0</v>
      </c>
      <c r="V26" s="44">
        <f t="shared" si="10"/>
        <v>0</v>
      </c>
      <c r="W26" s="44">
        <f t="shared" si="10"/>
        <v>0</v>
      </c>
    </row>
    <row r="27" spans="3:27" x14ac:dyDescent="0.25">
      <c r="C27" s="40" t="s">
        <v>65</v>
      </c>
      <c r="D27" s="44">
        <f t="shared" si="9"/>
        <v>0</v>
      </c>
      <c r="E27" s="44">
        <f t="shared" si="10"/>
        <v>0</v>
      </c>
      <c r="F27" s="44">
        <f t="shared" si="10"/>
        <v>0</v>
      </c>
      <c r="G27" s="44">
        <f t="shared" si="10"/>
        <v>0</v>
      </c>
      <c r="H27" s="44">
        <f t="shared" si="10"/>
        <v>0</v>
      </c>
      <c r="I27" s="44">
        <f t="shared" si="10"/>
        <v>0</v>
      </c>
      <c r="J27" s="44">
        <f t="shared" si="10"/>
        <v>0</v>
      </c>
      <c r="K27" s="44">
        <f t="shared" si="10"/>
        <v>0</v>
      </c>
      <c r="L27" s="44">
        <f t="shared" si="10"/>
        <v>0</v>
      </c>
      <c r="M27" s="44">
        <f t="shared" si="10"/>
        <v>0</v>
      </c>
      <c r="N27" s="44">
        <f t="shared" si="10"/>
        <v>0</v>
      </c>
      <c r="O27" s="44">
        <f t="shared" si="10"/>
        <v>0</v>
      </c>
      <c r="P27" s="44">
        <f t="shared" si="10"/>
        <v>0</v>
      </c>
      <c r="Q27" s="44">
        <f t="shared" si="10"/>
        <v>0</v>
      </c>
      <c r="R27" s="44">
        <f t="shared" si="10"/>
        <v>0</v>
      </c>
      <c r="S27" s="44">
        <f t="shared" si="10"/>
        <v>0</v>
      </c>
      <c r="T27" s="44">
        <f t="shared" si="10"/>
        <v>0</v>
      </c>
      <c r="U27" s="44">
        <f t="shared" si="10"/>
        <v>0</v>
      </c>
      <c r="V27" s="44">
        <f t="shared" si="10"/>
        <v>0</v>
      </c>
      <c r="W27" s="44">
        <f t="shared" si="10"/>
        <v>0</v>
      </c>
    </row>
    <row r="28" spans="3:27" x14ac:dyDescent="0.25">
      <c r="C28" s="40" t="s">
        <v>72</v>
      </c>
      <c r="D28" s="44">
        <f t="shared" si="9"/>
        <v>0</v>
      </c>
      <c r="E28" s="44">
        <f t="shared" si="10"/>
        <v>0</v>
      </c>
      <c r="F28" s="44">
        <f t="shared" si="10"/>
        <v>0</v>
      </c>
      <c r="G28" s="44">
        <f t="shared" si="10"/>
        <v>0</v>
      </c>
      <c r="H28" s="44">
        <f t="shared" si="10"/>
        <v>0</v>
      </c>
      <c r="I28" s="44">
        <f t="shared" si="10"/>
        <v>0</v>
      </c>
      <c r="J28" s="44">
        <f t="shared" si="10"/>
        <v>0</v>
      </c>
      <c r="K28" s="44">
        <f t="shared" si="10"/>
        <v>0</v>
      </c>
      <c r="L28" s="44">
        <f t="shared" si="10"/>
        <v>0</v>
      </c>
      <c r="M28" s="44">
        <f t="shared" si="10"/>
        <v>0</v>
      </c>
      <c r="N28" s="44">
        <f t="shared" si="10"/>
        <v>0</v>
      </c>
      <c r="O28" s="44">
        <f t="shared" si="10"/>
        <v>0</v>
      </c>
      <c r="P28" s="44">
        <f t="shared" si="10"/>
        <v>0</v>
      </c>
      <c r="Q28" s="44">
        <f t="shared" si="10"/>
        <v>0</v>
      </c>
      <c r="R28" s="44">
        <f t="shared" si="10"/>
        <v>0</v>
      </c>
      <c r="S28" s="44">
        <f t="shared" si="10"/>
        <v>0</v>
      </c>
      <c r="T28" s="44">
        <f t="shared" si="10"/>
        <v>0</v>
      </c>
      <c r="U28" s="44">
        <f t="shared" si="10"/>
        <v>0</v>
      </c>
      <c r="V28" s="44">
        <f t="shared" si="10"/>
        <v>0</v>
      </c>
      <c r="W28" s="44">
        <f t="shared" si="10"/>
        <v>0</v>
      </c>
    </row>
    <row r="29" spans="3:27" x14ac:dyDescent="0.25">
      <c r="C29" s="40" t="s">
        <v>93</v>
      </c>
      <c r="D29" s="44">
        <f t="shared" si="9"/>
        <v>0</v>
      </c>
      <c r="E29" s="44">
        <f t="shared" si="10"/>
        <v>0</v>
      </c>
      <c r="F29" s="44">
        <f t="shared" si="10"/>
        <v>0</v>
      </c>
      <c r="G29" s="44">
        <f t="shared" si="10"/>
        <v>0</v>
      </c>
      <c r="H29" s="44">
        <f t="shared" si="10"/>
        <v>0</v>
      </c>
      <c r="I29" s="44">
        <f t="shared" si="10"/>
        <v>0</v>
      </c>
      <c r="J29" s="44">
        <f t="shared" si="10"/>
        <v>0</v>
      </c>
      <c r="K29" s="44">
        <f t="shared" si="10"/>
        <v>0</v>
      </c>
      <c r="L29" s="44">
        <f t="shared" si="10"/>
        <v>0</v>
      </c>
      <c r="M29" s="44">
        <f t="shared" si="10"/>
        <v>0</v>
      </c>
      <c r="N29" s="44">
        <f t="shared" si="10"/>
        <v>0</v>
      </c>
      <c r="O29" s="44">
        <f t="shared" si="10"/>
        <v>0</v>
      </c>
      <c r="P29" s="44">
        <f t="shared" si="10"/>
        <v>0</v>
      </c>
      <c r="Q29" s="44">
        <f t="shared" si="10"/>
        <v>0</v>
      </c>
      <c r="R29" s="44">
        <f t="shared" si="10"/>
        <v>0</v>
      </c>
      <c r="S29" s="44">
        <f t="shared" si="10"/>
        <v>0</v>
      </c>
      <c r="T29" s="44">
        <f t="shared" si="10"/>
        <v>0</v>
      </c>
      <c r="U29" s="44">
        <f t="shared" si="10"/>
        <v>0</v>
      </c>
      <c r="V29" s="44">
        <f t="shared" si="10"/>
        <v>0</v>
      </c>
      <c r="W29" s="44">
        <f t="shared" si="10"/>
        <v>0</v>
      </c>
    </row>
    <row r="30" spans="3:27" x14ac:dyDescent="0.25">
      <c r="C30" s="40" t="s">
        <v>82</v>
      </c>
      <c r="D30" s="44">
        <f>D19+D20+D18+D21</f>
        <v>0</v>
      </c>
      <c r="E30" s="44">
        <f>E19+E20+E18+E21+D30</f>
        <v>0</v>
      </c>
      <c r="F30" s="44">
        <f t="shared" ref="F30:W30" si="11">F19+F20+F18+F21+E30</f>
        <v>0</v>
      </c>
      <c r="G30" s="44">
        <f t="shared" si="11"/>
        <v>0</v>
      </c>
      <c r="H30" s="44">
        <f t="shared" si="11"/>
        <v>0</v>
      </c>
      <c r="I30" s="44">
        <f t="shared" si="11"/>
        <v>0</v>
      </c>
      <c r="J30" s="44">
        <f t="shared" si="11"/>
        <v>0</v>
      </c>
      <c r="K30" s="44">
        <f t="shared" si="11"/>
        <v>0</v>
      </c>
      <c r="L30" s="44">
        <f t="shared" si="11"/>
        <v>0</v>
      </c>
      <c r="M30" s="44">
        <f t="shared" si="11"/>
        <v>0</v>
      </c>
      <c r="N30" s="44">
        <f t="shared" si="11"/>
        <v>0</v>
      </c>
      <c r="O30" s="44">
        <f t="shared" si="11"/>
        <v>0</v>
      </c>
      <c r="P30" s="44">
        <f t="shared" si="11"/>
        <v>0</v>
      </c>
      <c r="Q30" s="44">
        <f t="shared" si="11"/>
        <v>0</v>
      </c>
      <c r="R30" s="44">
        <f t="shared" si="11"/>
        <v>0</v>
      </c>
      <c r="S30" s="44">
        <f t="shared" si="11"/>
        <v>0</v>
      </c>
      <c r="T30" s="44">
        <f t="shared" si="11"/>
        <v>0</v>
      </c>
      <c r="U30" s="44">
        <f t="shared" si="11"/>
        <v>0</v>
      </c>
      <c r="V30" s="44">
        <f t="shared" si="11"/>
        <v>0</v>
      </c>
      <c r="W30" s="44">
        <f t="shared" si="11"/>
        <v>0</v>
      </c>
    </row>
    <row r="31" spans="3:27" x14ac:dyDescent="0.25"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</row>
    <row r="32" spans="3:27" ht="27" x14ac:dyDescent="0.35">
      <c r="C32" s="42" t="s">
        <v>61</v>
      </c>
    </row>
    <row r="33" spans="3:25" ht="15.75" x14ac:dyDescent="0.25">
      <c r="C33" s="43" t="s">
        <v>69</v>
      </c>
      <c r="D33" s="2">
        <v>2017</v>
      </c>
      <c r="E33" s="2">
        <f>D33+1</f>
        <v>2018</v>
      </c>
      <c r="F33" s="2">
        <f t="shared" ref="F33:Y33" si="12">E33+1</f>
        <v>2019</v>
      </c>
      <c r="G33" s="2">
        <f t="shared" si="12"/>
        <v>2020</v>
      </c>
      <c r="H33" s="2">
        <f t="shared" si="12"/>
        <v>2021</v>
      </c>
      <c r="I33" s="2">
        <f t="shared" si="12"/>
        <v>2022</v>
      </c>
      <c r="J33" s="2">
        <f t="shared" si="12"/>
        <v>2023</v>
      </c>
      <c r="K33" s="2">
        <f t="shared" si="12"/>
        <v>2024</v>
      </c>
      <c r="L33" s="2">
        <f t="shared" si="12"/>
        <v>2025</v>
      </c>
      <c r="M33" s="2">
        <f t="shared" si="12"/>
        <v>2026</v>
      </c>
      <c r="N33" s="2">
        <f t="shared" si="12"/>
        <v>2027</v>
      </c>
      <c r="O33" s="2">
        <f t="shared" si="12"/>
        <v>2028</v>
      </c>
      <c r="P33" s="2">
        <f t="shared" si="12"/>
        <v>2029</v>
      </c>
      <c r="Q33" s="2">
        <f t="shared" si="12"/>
        <v>2030</v>
      </c>
      <c r="R33" s="2">
        <f t="shared" si="12"/>
        <v>2031</v>
      </c>
      <c r="S33" s="2">
        <f t="shared" si="12"/>
        <v>2032</v>
      </c>
      <c r="T33" s="2">
        <f t="shared" si="12"/>
        <v>2033</v>
      </c>
      <c r="U33" s="2">
        <f t="shared" si="12"/>
        <v>2034</v>
      </c>
      <c r="V33" s="2">
        <f t="shared" si="12"/>
        <v>2035</v>
      </c>
      <c r="W33" s="2">
        <f t="shared" si="12"/>
        <v>2036</v>
      </c>
      <c r="X33" s="2">
        <f t="shared" si="12"/>
        <v>2037</v>
      </c>
      <c r="Y33" s="2">
        <f t="shared" si="12"/>
        <v>2038</v>
      </c>
    </row>
    <row r="34" spans="3:25" x14ac:dyDescent="0.25">
      <c r="C34" s="40" t="s">
        <v>62</v>
      </c>
      <c r="D34" s="44">
        <f>SUMIF($A$69:$A$500,$C34,D$69:D$500)</f>
        <v>0</v>
      </c>
      <c r="E34" s="44">
        <f t="shared" ref="E34:T37" si="13">SUMIF($A$69:$A$500,$C34,E$69:E$500)</f>
        <v>0</v>
      </c>
      <c r="F34" s="44">
        <f t="shared" si="13"/>
        <v>0</v>
      </c>
      <c r="G34" s="44">
        <f t="shared" si="13"/>
        <v>0</v>
      </c>
      <c r="H34" s="44">
        <f t="shared" si="13"/>
        <v>0</v>
      </c>
      <c r="I34" s="44">
        <f t="shared" si="13"/>
        <v>0</v>
      </c>
      <c r="J34" s="44">
        <f t="shared" si="13"/>
        <v>0</v>
      </c>
      <c r="K34" s="44">
        <f t="shared" si="13"/>
        <v>0</v>
      </c>
      <c r="L34" s="44">
        <f t="shared" si="13"/>
        <v>0</v>
      </c>
      <c r="M34" s="44">
        <f t="shared" si="13"/>
        <v>0</v>
      </c>
      <c r="N34" s="44">
        <f t="shared" si="13"/>
        <v>0</v>
      </c>
      <c r="O34" s="44">
        <f t="shared" si="13"/>
        <v>0</v>
      </c>
      <c r="P34" s="44">
        <f t="shared" si="13"/>
        <v>199.92400000000001</v>
      </c>
      <c r="Q34" s="44">
        <f t="shared" si="13"/>
        <v>0</v>
      </c>
      <c r="R34" s="44">
        <f t="shared" si="13"/>
        <v>0</v>
      </c>
      <c r="S34" s="44">
        <f t="shared" si="13"/>
        <v>0</v>
      </c>
      <c r="T34" s="44">
        <f t="shared" si="13"/>
        <v>199.92400000000001</v>
      </c>
      <c r="U34" s="44">
        <f t="shared" ref="U34:W37" si="14">SUMIF($A$69:$A$500,$C34,U$69:U$500)</f>
        <v>0</v>
      </c>
      <c r="V34" s="44">
        <f t="shared" si="14"/>
        <v>0</v>
      </c>
      <c r="W34" s="44">
        <f t="shared" si="14"/>
        <v>0</v>
      </c>
    </row>
    <row r="35" spans="3:25" x14ac:dyDescent="0.25">
      <c r="C35" s="40" t="s">
        <v>67</v>
      </c>
      <c r="D35" s="44">
        <f t="shared" ref="D35:D37" si="15">SUMIF($A$69:$A$500,$C35,D$69:D$500)</f>
        <v>0</v>
      </c>
      <c r="E35" s="44">
        <f t="shared" si="13"/>
        <v>0</v>
      </c>
      <c r="F35" s="44">
        <f t="shared" si="13"/>
        <v>0</v>
      </c>
      <c r="G35" s="44">
        <f t="shared" si="13"/>
        <v>0</v>
      </c>
      <c r="H35" s="44">
        <f t="shared" si="13"/>
        <v>0</v>
      </c>
      <c r="I35" s="44">
        <f t="shared" si="13"/>
        <v>0</v>
      </c>
      <c r="J35" s="44">
        <f t="shared" si="13"/>
        <v>0</v>
      </c>
      <c r="K35" s="44">
        <f t="shared" si="13"/>
        <v>0</v>
      </c>
      <c r="L35" s="44">
        <f t="shared" si="13"/>
        <v>0</v>
      </c>
      <c r="M35" s="44">
        <f t="shared" si="13"/>
        <v>0</v>
      </c>
      <c r="N35" s="44">
        <f t="shared" si="13"/>
        <v>0</v>
      </c>
      <c r="O35" s="44">
        <f t="shared" si="13"/>
        <v>0</v>
      </c>
      <c r="P35" s="44">
        <f t="shared" si="13"/>
        <v>0</v>
      </c>
      <c r="Q35" s="44">
        <f t="shared" si="13"/>
        <v>436.35700000000003</v>
      </c>
      <c r="R35" s="44">
        <f t="shared" si="13"/>
        <v>0</v>
      </c>
      <c r="S35" s="44">
        <f t="shared" si="13"/>
        <v>0</v>
      </c>
      <c r="T35" s="44">
        <f t="shared" si="13"/>
        <v>476.577</v>
      </c>
      <c r="U35" s="44">
        <f t="shared" si="14"/>
        <v>0</v>
      </c>
      <c r="V35" s="44">
        <f t="shared" si="14"/>
        <v>0</v>
      </c>
      <c r="W35" s="44">
        <f t="shared" si="14"/>
        <v>0</v>
      </c>
    </row>
    <row r="36" spans="3:25" x14ac:dyDescent="0.25">
      <c r="C36" s="40" t="s">
        <v>86</v>
      </c>
      <c r="D36" s="44">
        <f t="shared" si="15"/>
        <v>0</v>
      </c>
      <c r="E36" s="44">
        <f t="shared" si="13"/>
        <v>0</v>
      </c>
      <c r="F36" s="44">
        <f t="shared" si="13"/>
        <v>0</v>
      </c>
      <c r="G36" s="44">
        <f t="shared" si="13"/>
        <v>0</v>
      </c>
      <c r="H36" s="44">
        <f t="shared" si="13"/>
        <v>0</v>
      </c>
      <c r="I36" s="44">
        <f t="shared" si="13"/>
        <v>0</v>
      </c>
      <c r="J36" s="44">
        <f t="shared" si="13"/>
        <v>0</v>
      </c>
      <c r="K36" s="44">
        <f t="shared" si="13"/>
        <v>0</v>
      </c>
      <c r="L36" s="44">
        <f t="shared" si="13"/>
        <v>0</v>
      </c>
      <c r="M36" s="44">
        <f t="shared" si="13"/>
        <v>0</v>
      </c>
      <c r="N36" s="44">
        <f t="shared" si="13"/>
        <v>0</v>
      </c>
      <c r="O36" s="44">
        <f t="shared" si="13"/>
        <v>0</v>
      </c>
      <c r="P36" s="44">
        <f t="shared" si="13"/>
        <v>0</v>
      </c>
      <c r="Q36" s="44">
        <f t="shared" si="13"/>
        <v>0</v>
      </c>
      <c r="R36" s="44">
        <f t="shared" si="13"/>
        <v>0</v>
      </c>
      <c r="S36" s="44">
        <f t="shared" si="13"/>
        <v>0</v>
      </c>
      <c r="T36" s="44">
        <f t="shared" si="13"/>
        <v>0</v>
      </c>
      <c r="U36" s="44">
        <f t="shared" si="14"/>
        <v>0</v>
      </c>
      <c r="V36" s="44">
        <f t="shared" si="14"/>
        <v>0</v>
      </c>
      <c r="W36" s="44">
        <f t="shared" si="14"/>
        <v>0</v>
      </c>
    </row>
    <row r="37" spans="3:25" x14ac:dyDescent="0.25">
      <c r="C37" s="40" t="s">
        <v>74</v>
      </c>
      <c r="D37" s="44">
        <f t="shared" si="15"/>
        <v>0</v>
      </c>
      <c r="E37" s="44">
        <f t="shared" si="13"/>
        <v>0</v>
      </c>
      <c r="F37" s="44">
        <f t="shared" si="13"/>
        <v>0</v>
      </c>
      <c r="G37" s="44">
        <f t="shared" si="13"/>
        <v>0</v>
      </c>
      <c r="H37" s="44">
        <f t="shared" si="13"/>
        <v>0</v>
      </c>
      <c r="I37" s="44">
        <f t="shared" si="13"/>
        <v>0</v>
      </c>
      <c r="J37" s="44">
        <f t="shared" si="13"/>
        <v>0</v>
      </c>
      <c r="K37" s="44">
        <f t="shared" si="13"/>
        <v>0</v>
      </c>
      <c r="L37" s="44">
        <f t="shared" si="13"/>
        <v>0</v>
      </c>
      <c r="M37" s="44">
        <f t="shared" si="13"/>
        <v>0</v>
      </c>
      <c r="N37" s="44">
        <f t="shared" si="13"/>
        <v>0</v>
      </c>
      <c r="O37" s="44">
        <f t="shared" si="13"/>
        <v>0</v>
      </c>
      <c r="P37" s="44">
        <f t="shared" si="13"/>
        <v>0</v>
      </c>
      <c r="Q37" s="44">
        <f t="shared" si="13"/>
        <v>0</v>
      </c>
      <c r="R37" s="44">
        <f t="shared" si="13"/>
        <v>0</v>
      </c>
      <c r="S37" s="44">
        <f t="shared" si="13"/>
        <v>0</v>
      </c>
      <c r="T37" s="44">
        <f t="shared" si="13"/>
        <v>-357.5</v>
      </c>
      <c r="U37" s="44">
        <f t="shared" si="14"/>
        <v>0</v>
      </c>
      <c r="V37" s="44">
        <f t="shared" si="14"/>
        <v>0</v>
      </c>
      <c r="W37" s="44">
        <f t="shared" si="14"/>
        <v>0</v>
      </c>
    </row>
    <row r="39" spans="3:25" ht="15.75" x14ac:dyDescent="0.25">
      <c r="C39" s="43" t="s">
        <v>70</v>
      </c>
      <c r="D39" s="2">
        <v>2017</v>
      </c>
      <c r="E39" s="2">
        <f>D39+1</f>
        <v>2018</v>
      </c>
      <c r="F39" s="2">
        <f t="shared" ref="F39:Y39" si="16">E39+1</f>
        <v>2019</v>
      </c>
      <c r="G39" s="2">
        <f t="shared" si="16"/>
        <v>2020</v>
      </c>
      <c r="H39" s="2">
        <f t="shared" si="16"/>
        <v>2021</v>
      </c>
      <c r="I39" s="2">
        <f t="shared" si="16"/>
        <v>2022</v>
      </c>
      <c r="J39" s="2">
        <f t="shared" si="16"/>
        <v>2023</v>
      </c>
      <c r="K39" s="2">
        <f t="shared" si="16"/>
        <v>2024</v>
      </c>
      <c r="L39" s="2">
        <f t="shared" si="16"/>
        <v>2025</v>
      </c>
      <c r="M39" s="2">
        <f t="shared" si="16"/>
        <v>2026</v>
      </c>
      <c r="N39" s="2">
        <f t="shared" si="16"/>
        <v>2027</v>
      </c>
      <c r="O39" s="2">
        <f t="shared" si="16"/>
        <v>2028</v>
      </c>
      <c r="P39" s="2">
        <f t="shared" si="16"/>
        <v>2029</v>
      </c>
      <c r="Q39" s="2">
        <f t="shared" si="16"/>
        <v>2030</v>
      </c>
      <c r="R39" s="2">
        <f t="shared" si="16"/>
        <v>2031</v>
      </c>
      <c r="S39" s="2">
        <f t="shared" si="16"/>
        <v>2032</v>
      </c>
      <c r="T39" s="2">
        <f t="shared" si="16"/>
        <v>2033</v>
      </c>
      <c r="U39" s="2">
        <f t="shared" si="16"/>
        <v>2034</v>
      </c>
      <c r="V39" s="2">
        <f t="shared" si="16"/>
        <v>2035</v>
      </c>
      <c r="W39" s="2">
        <f t="shared" si="16"/>
        <v>2036</v>
      </c>
      <c r="X39" s="2">
        <f t="shared" si="16"/>
        <v>2037</v>
      </c>
      <c r="Y39" s="2">
        <f t="shared" si="16"/>
        <v>2038</v>
      </c>
    </row>
    <row r="40" spans="3:25" x14ac:dyDescent="0.25">
      <c r="C40" s="40" t="s">
        <v>62</v>
      </c>
      <c r="D40" s="44">
        <f>D34</f>
        <v>0</v>
      </c>
      <c r="E40" s="44">
        <f>D40+E34</f>
        <v>0</v>
      </c>
      <c r="F40" s="44">
        <f t="shared" ref="F40:W42" si="17">E40+F34</f>
        <v>0</v>
      </c>
      <c r="G40" s="44">
        <f t="shared" si="17"/>
        <v>0</v>
      </c>
      <c r="H40" s="44">
        <f t="shared" si="17"/>
        <v>0</v>
      </c>
      <c r="I40" s="44">
        <f t="shared" si="17"/>
        <v>0</v>
      </c>
      <c r="J40" s="44">
        <f t="shared" si="17"/>
        <v>0</v>
      </c>
      <c r="K40" s="44">
        <f t="shared" si="17"/>
        <v>0</v>
      </c>
      <c r="L40" s="44">
        <f t="shared" si="17"/>
        <v>0</v>
      </c>
      <c r="M40" s="44">
        <f t="shared" si="17"/>
        <v>0</v>
      </c>
      <c r="N40" s="44">
        <f t="shared" si="17"/>
        <v>0</v>
      </c>
      <c r="O40" s="44">
        <f t="shared" si="17"/>
        <v>0</v>
      </c>
      <c r="P40" s="44">
        <f t="shared" si="17"/>
        <v>199.92400000000001</v>
      </c>
      <c r="Q40" s="44">
        <f t="shared" si="17"/>
        <v>199.92400000000001</v>
      </c>
      <c r="R40" s="44">
        <f t="shared" si="17"/>
        <v>199.92400000000001</v>
      </c>
      <c r="S40" s="44">
        <f t="shared" si="17"/>
        <v>199.92400000000001</v>
      </c>
      <c r="T40" s="44">
        <f t="shared" si="17"/>
        <v>399.84800000000001</v>
      </c>
      <c r="U40" s="44">
        <f t="shared" si="17"/>
        <v>399.84800000000001</v>
      </c>
      <c r="V40" s="44">
        <f t="shared" si="17"/>
        <v>399.84800000000001</v>
      </c>
      <c r="W40" s="44">
        <f t="shared" si="17"/>
        <v>399.84800000000001</v>
      </c>
    </row>
    <row r="41" spans="3:25" x14ac:dyDescent="0.25">
      <c r="C41" s="40" t="s">
        <v>67</v>
      </c>
      <c r="D41" s="44">
        <f>D35</f>
        <v>0</v>
      </c>
      <c r="E41" s="44">
        <f>D41+E35</f>
        <v>0</v>
      </c>
      <c r="F41" s="44">
        <f t="shared" si="17"/>
        <v>0</v>
      </c>
      <c r="G41" s="44">
        <f t="shared" si="17"/>
        <v>0</v>
      </c>
      <c r="H41" s="44">
        <f t="shared" si="17"/>
        <v>0</v>
      </c>
      <c r="I41" s="44">
        <f t="shared" si="17"/>
        <v>0</v>
      </c>
      <c r="J41" s="44">
        <f t="shared" si="17"/>
        <v>0</v>
      </c>
      <c r="K41" s="44">
        <f t="shared" si="17"/>
        <v>0</v>
      </c>
      <c r="L41" s="44">
        <f t="shared" si="17"/>
        <v>0</v>
      </c>
      <c r="M41" s="44">
        <f t="shared" si="17"/>
        <v>0</v>
      </c>
      <c r="N41" s="44">
        <f t="shared" si="17"/>
        <v>0</v>
      </c>
      <c r="O41" s="44">
        <f t="shared" si="17"/>
        <v>0</v>
      </c>
      <c r="P41" s="44">
        <f t="shared" si="17"/>
        <v>0</v>
      </c>
      <c r="Q41" s="44">
        <f t="shared" si="17"/>
        <v>436.35700000000003</v>
      </c>
      <c r="R41" s="44">
        <f t="shared" si="17"/>
        <v>436.35700000000003</v>
      </c>
      <c r="S41" s="44">
        <f t="shared" si="17"/>
        <v>436.35700000000003</v>
      </c>
      <c r="T41" s="44">
        <f t="shared" si="17"/>
        <v>912.93399999999997</v>
      </c>
      <c r="U41" s="44">
        <f t="shared" si="17"/>
        <v>912.93399999999997</v>
      </c>
      <c r="V41" s="44">
        <f t="shared" si="17"/>
        <v>912.93399999999997</v>
      </c>
      <c r="W41" s="44">
        <f t="shared" si="17"/>
        <v>912.93399999999997</v>
      </c>
    </row>
    <row r="42" spans="3:25" x14ac:dyDescent="0.25">
      <c r="C42" s="40" t="s">
        <v>86</v>
      </c>
      <c r="D42" s="44">
        <f>D36</f>
        <v>0</v>
      </c>
      <c r="E42" s="44">
        <f>D42+E36</f>
        <v>0</v>
      </c>
      <c r="F42" s="44">
        <f t="shared" si="17"/>
        <v>0</v>
      </c>
      <c r="G42" s="44">
        <f t="shared" si="17"/>
        <v>0</v>
      </c>
      <c r="H42" s="44">
        <f t="shared" si="17"/>
        <v>0</v>
      </c>
      <c r="I42" s="44">
        <f t="shared" si="17"/>
        <v>0</v>
      </c>
      <c r="J42" s="44">
        <f t="shared" si="17"/>
        <v>0</v>
      </c>
      <c r="K42" s="44">
        <f t="shared" si="17"/>
        <v>0</v>
      </c>
      <c r="L42" s="44">
        <f t="shared" si="17"/>
        <v>0</v>
      </c>
      <c r="M42" s="44">
        <f t="shared" si="17"/>
        <v>0</v>
      </c>
      <c r="N42" s="44">
        <f t="shared" si="17"/>
        <v>0</v>
      </c>
      <c r="O42" s="44">
        <f t="shared" si="17"/>
        <v>0</v>
      </c>
      <c r="P42" s="44">
        <f t="shared" si="17"/>
        <v>0</v>
      </c>
      <c r="Q42" s="44">
        <f t="shared" si="17"/>
        <v>0</v>
      </c>
      <c r="R42" s="44">
        <f t="shared" si="17"/>
        <v>0</v>
      </c>
      <c r="S42" s="44">
        <f t="shared" si="17"/>
        <v>0</v>
      </c>
      <c r="T42" s="44">
        <f t="shared" si="17"/>
        <v>0</v>
      </c>
      <c r="U42" s="44">
        <f t="shared" si="17"/>
        <v>0</v>
      </c>
      <c r="V42" s="44">
        <f t="shared" si="17"/>
        <v>0</v>
      </c>
      <c r="W42" s="44">
        <f t="shared" si="17"/>
        <v>0</v>
      </c>
    </row>
    <row r="43" spans="3:25" x14ac:dyDescent="0.25">
      <c r="C43" s="40" t="s">
        <v>74</v>
      </c>
      <c r="D43" s="44">
        <f t="shared" ref="D43" si="18">D37</f>
        <v>0</v>
      </c>
      <c r="E43" s="44">
        <f t="shared" ref="E43:W43" si="19">D43+E37</f>
        <v>0</v>
      </c>
      <c r="F43" s="44">
        <f t="shared" si="19"/>
        <v>0</v>
      </c>
      <c r="G43" s="44">
        <f t="shared" si="19"/>
        <v>0</v>
      </c>
      <c r="H43" s="44">
        <f t="shared" si="19"/>
        <v>0</v>
      </c>
      <c r="I43" s="44">
        <f t="shared" si="19"/>
        <v>0</v>
      </c>
      <c r="J43" s="44">
        <f t="shared" si="19"/>
        <v>0</v>
      </c>
      <c r="K43" s="44">
        <f t="shared" si="19"/>
        <v>0</v>
      </c>
      <c r="L43" s="44">
        <f t="shared" si="19"/>
        <v>0</v>
      </c>
      <c r="M43" s="44">
        <f t="shared" si="19"/>
        <v>0</v>
      </c>
      <c r="N43" s="44">
        <f t="shared" si="19"/>
        <v>0</v>
      </c>
      <c r="O43" s="44">
        <f t="shared" si="19"/>
        <v>0</v>
      </c>
      <c r="P43" s="44">
        <f t="shared" si="19"/>
        <v>0</v>
      </c>
      <c r="Q43" s="44">
        <f t="shared" si="19"/>
        <v>0</v>
      </c>
      <c r="R43" s="44">
        <f t="shared" si="19"/>
        <v>0</v>
      </c>
      <c r="S43" s="44">
        <f t="shared" si="19"/>
        <v>0</v>
      </c>
      <c r="T43" s="44">
        <f t="shared" si="19"/>
        <v>-357.5</v>
      </c>
      <c r="U43" s="44">
        <f t="shared" si="19"/>
        <v>-357.5</v>
      </c>
      <c r="V43" s="44">
        <f t="shared" si="19"/>
        <v>-357.5</v>
      </c>
      <c r="W43" s="44">
        <f t="shared" si="19"/>
        <v>-357.5</v>
      </c>
    </row>
    <row r="45" spans="3:25" ht="27" x14ac:dyDescent="0.35">
      <c r="C45" s="42" t="s">
        <v>79</v>
      </c>
    </row>
    <row r="46" spans="3:25" ht="15.75" x14ac:dyDescent="0.25">
      <c r="C46" s="43" t="s">
        <v>69</v>
      </c>
      <c r="D46" s="2">
        <v>2017</v>
      </c>
      <c r="E46" s="2">
        <f>D46+1</f>
        <v>2018</v>
      </c>
      <c r="F46" s="2">
        <f t="shared" ref="F46:Y46" si="20">E46+1</f>
        <v>2019</v>
      </c>
      <c r="G46" s="2">
        <f t="shared" si="20"/>
        <v>2020</v>
      </c>
      <c r="H46" s="2">
        <f t="shared" si="20"/>
        <v>2021</v>
      </c>
      <c r="I46" s="2">
        <f t="shared" si="20"/>
        <v>2022</v>
      </c>
      <c r="J46" s="2">
        <f t="shared" si="20"/>
        <v>2023</v>
      </c>
      <c r="K46" s="2">
        <f t="shared" si="20"/>
        <v>2024</v>
      </c>
      <c r="L46" s="2">
        <f t="shared" si="20"/>
        <v>2025</v>
      </c>
      <c r="M46" s="2">
        <f t="shared" si="20"/>
        <v>2026</v>
      </c>
      <c r="N46" s="2">
        <f t="shared" si="20"/>
        <v>2027</v>
      </c>
      <c r="O46" s="2">
        <f t="shared" si="20"/>
        <v>2028</v>
      </c>
      <c r="P46" s="2">
        <f t="shared" si="20"/>
        <v>2029</v>
      </c>
      <c r="Q46" s="2">
        <f t="shared" si="20"/>
        <v>2030</v>
      </c>
      <c r="R46" s="2">
        <f t="shared" si="20"/>
        <v>2031</v>
      </c>
      <c r="S46" s="2">
        <f t="shared" si="20"/>
        <v>2032</v>
      </c>
      <c r="T46" s="2">
        <f t="shared" si="20"/>
        <v>2033</v>
      </c>
      <c r="U46" s="2">
        <f t="shared" si="20"/>
        <v>2034</v>
      </c>
      <c r="V46" s="2">
        <f t="shared" si="20"/>
        <v>2035</v>
      </c>
      <c r="W46" s="2">
        <f t="shared" si="20"/>
        <v>2036</v>
      </c>
      <c r="X46" s="2">
        <f t="shared" si="20"/>
        <v>2037</v>
      </c>
      <c r="Y46" s="2">
        <f t="shared" si="20"/>
        <v>2038</v>
      </c>
    </row>
    <row r="47" spans="3:25" x14ac:dyDescent="0.25">
      <c r="C47" s="40" t="s">
        <v>64</v>
      </c>
      <c r="D47" s="44">
        <f>SUMIF($A$69:$A$500,$C47,D$69:D$500)</f>
        <v>153.77199999999999</v>
      </c>
      <c r="E47" s="44">
        <f t="shared" ref="E47:T48" si="21">SUMIF($A$69:$A$500,$C47,E$69:E$500)</f>
        <v>127.71</v>
      </c>
      <c r="F47" s="44">
        <f t="shared" si="21"/>
        <v>131.19</v>
      </c>
      <c r="G47" s="44">
        <f t="shared" si="21"/>
        <v>121.58</v>
      </c>
      <c r="H47" s="44">
        <f t="shared" si="21"/>
        <v>122.75000000000001</v>
      </c>
      <c r="I47" s="44">
        <f t="shared" si="21"/>
        <v>114.06000000000002</v>
      </c>
      <c r="J47" s="44">
        <f t="shared" si="21"/>
        <v>117.86000000000001</v>
      </c>
      <c r="K47" s="44">
        <f t="shared" si="21"/>
        <v>117.65</v>
      </c>
      <c r="L47" s="44">
        <f t="shared" si="21"/>
        <v>111.58000000000001</v>
      </c>
      <c r="M47" s="44">
        <f t="shared" si="21"/>
        <v>111.22</v>
      </c>
      <c r="N47" s="44">
        <f t="shared" si="21"/>
        <v>109.07</v>
      </c>
      <c r="O47" s="44">
        <f t="shared" si="21"/>
        <v>101.7</v>
      </c>
      <c r="P47" s="44">
        <f t="shared" si="21"/>
        <v>96.330000000000013</v>
      </c>
      <c r="Q47" s="44">
        <f t="shared" si="21"/>
        <v>95.339999999999989</v>
      </c>
      <c r="R47" s="44">
        <f t="shared" si="21"/>
        <v>96.2</v>
      </c>
      <c r="S47" s="44">
        <f t="shared" si="21"/>
        <v>83.360000000000014</v>
      </c>
      <c r="T47" s="44">
        <f t="shared" si="21"/>
        <v>74.550000000000011</v>
      </c>
      <c r="U47" s="44">
        <f t="shared" ref="U47:W48" si="22">SUMIF($A$69:$A$500,$C47,U$69:U$500)</f>
        <v>65.33</v>
      </c>
      <c r="V47" s="44">
        <f t="shared" si="22"/>
        <v>62.730000000000011</v>
      </c>
      <c r="W47" s="44">
        <f t="shared" si="22"/>
        <v>62.720000000000006</v>
      </c>
    </row>
    <row r="48" spans="3:25" x14ac:dyDescent="0.25">
      <c r="C48" s="40" t="s">
        <v>63</v>
      </c>
      <c r="D48" s="44">
        <f t="shared" ref="D48" si="23">SUMIF($A$69:$A$500,$C48,D$69:D$500)</f>
        <v>0</v>
      </c>
      <c r="E48" s="44">
        <f t="shared" si="21"/>
        <v>0</v>
      </c>
      <c r="F48" s="44">
        <f t="shared" si="21"/>
        <v>0</v>
      </c>
      <c r="G48" s="44">
        <f t="shared" si="21"/>
        <v>0</v>
      </c>
      <c r="H48" s="44">
        <f t="shared" si="21"/>
        <v>0</v>
      </c>
      <c r="I48" s="44">
        <f t="shared" si="21"/>
        <v>0</v>
      </c>
      <c r="J48" s="44">
        <f t="shared" si="21"/>
        <v>0</v>
      </c>
      <c r="K48" s="44">
        <f t="shared" si="21"/>
        <v>0</v>
      </c>
      <c r="L48" s="44">
        <f t="shared" si="21"/>
        <v>0</v>
      </c>
      <c r="M48" s="44">
        <f t="shared" si="21"/>
        <v>0</v>
      </c>
      <c r="N48" s="44">
        <f t="shared" si="21"/>
        <v>0</v>
      </c>
      <c r="O48" s="44">
        <f t="shared" si="21"/>
        <v>192.81</v>
      </c>
      <c r="P48" s="44">
        <f t="shared" si="21"/>
        <v>139.54</v>
      </c>
      <c r="Q48" s="44">
        <f t="shared" si="21"/>
        <v>4.75</v>
      </c>
      <c r="R48" s="44">
        <f t="shared" si="21"/>
        <v>3.34</v>
      </c>
      <c r="S48" s="44">
        <f t="shared" si="21"/>
        <v>3.36</v>
      </c>
      <c r="T48" s="44">
        <f t="shared" si="21"/>
        <v>3.11</v>
      </c>
      <c r="U48" s="44">
        <f t="shared" si="22"/>
        <v>3.67</v>
      </c>
      <c r="V48" s="44">
        <f t="shared" si="22"/>
        <v>3.05</v>
      </c>
      <c r="W48" s="44">
        <f t="shared" si="22"/>
        <v>11.629999999999999</v>
      </c>
    </row>
    <row r="50" spans="2:25" ht="15.75" x14ac:dyDescent="0.25">
      <c r="C50" s="43" t="s">
        <v>70</v>
      </c>
      <c r="D50" s="2">
        <v>2017</v>
      </c>
      <c r="E50" s="2">
        <f>D50+1</f>
        <v>2018</v>
      </c>
      <c r="F50" s="2">
        <f t="shared" ref="F50:Y50" si="24">E50+1</f>
        <v>2019</v>
      </c>
      <c r="G50" s="2">
        <f t="shared" si="24"/>
        <v>2020</v>
      </c>
      <c r="H50" s="2">
        <f t="shared" si="24"/>
        <v>2021</v>
      </c>
      <c r="I50" s="2">
        <f t="shared" si="24"/>
        <v>2022</v>
      </c>
      <c r="J50" s="2">
        <f t="shared" si="24"/>
        <v>2023</v>
      </c>
      <c r="K50" s="2">
        <f t="shared" si="24"/>
        <v>2024</v>
      </c>
      <c r="L50" s="2">
        <f t="shared" si="24"/>
        <v>2025</v>
      </c>
      <c r="M50" s="2">
        <f t="shared" si="24"/>
        <v>2026</v>
      </c>
      <c r="N50" s="2">
        <f t="shared" si="24"/>
        <v>2027</v>
      </c>
      <c r="O50" s="2">
        <f t="shared" si="24"/>
        <v>2028</v>
      </c>
      <c r="P50" s="2">
        <f t="shared" si="24"/>
        <v>2029</v>
      </c>
      <c r="Q50" s="2">
        <f t="shared" si="24"/>
        <v>2030</v>
      </c>
      <c r="R50" s="2">
        <f t="shared" si="24"/>
        <v>2031</v>
      </c>
      <c r="S50" s="2">
        <f t="shared" si="24"/>
        <v>2032</v>
      </c>
      <c r="T50" s="2">
        <f t="shared" si="24"/>
        <v>2033</v>
      </c>
      <c r="U50" s="2">
        <f t="shared" si="24"/>
        <v>2034</v>
      </c>
      <c r="V50" s="2">
        <f t="shared" si="24"/>
        <v>2035</v>
      </c>
      <c r="W50" s="2">
        <f t="shared" si="24"/>
        <v>2036</v>
      </c>
      <c r="X50" s="2">
        <f t="shared" si="24"/>
        <v>2037</v>
      </c>
      <c r="Y50" s="2">
        <f t="shared" si="24"/>
        <v>2038</v>
      </c>
    </row>
    <row r="51" spans="2:25" x14ac:dyDescent="0.25">
      <c r="C51" s="40" t="s">
        <v>64</v>
      </c>
      <c r="D51" s="44"/>
      <c r="E51" s="44"/>
      <c r="F51" s="44">
        <f>F47</f>
        <v>131.19</v>
      </c>
      <c r="G51" s="44">
        <f>F51+G47</f>
        <v>252.76999999999998</v>
      </c>
      <c r="H51" s="44">
        <f t="shared" ref="E51:W52" si="25">G51+H47</f>
        <v>375.52</v>
      </c>
      <c r="I51" s="44">
        <f t="shared" si="25"/>
        <v>489.58</v>
      </c>
      <c r="J51" s="44">
        <f t="shared" si="25"/>
        <v>607.44000000000005</v>
      </c>
      <c r="K51" s="44">
        <f t="shared" si="25"/>
        <v>725.09</v>
      </c>
      <c r="L51" s="44">
        <f t="shared" si="25"/>
        <v>836.67000000000007</v>
      </c>
      <c r="M51" s="44">
        <f t="shared" si="25"/>
        <v>947.8900000000001</v>
      </c>
      <c r="N51" s="44">
        <f t="shared" si="25"/>
        <v>1056.96</v>
      </c>
      <c r="O51" s="44">
        <f t="shared" si="25"/>
        <v>1158.6600000000001</v>
      </c>
      <c r="P51" s="44">
        <f t="shared" si="25"/>
        <v>1254.99</v>
      </c>
      <c r="Q51" s="44">
        <f t="shared" si="25"/>
        <v>1350.33</v>
      </c>
      <c r="R51" s="44">
        <f t="shared" si="25"/>
        <v>1446.53</v>
      </c>
      <c r="S51" s="44">
        <f t="shared" si="25"/>
        <v>1529.8899999999999</v>
      </c>
      <c r="T51" s="44">
        <f t="shared" si="25"/>
        <v>1604.4399999999998</v>
      </c>
      <c r="U51" s="44">
        <f t="shared" si="25"/>
        <v>1669.7699999999998</v>
      </c>
      <c r="V51" s="44">
        <f t="shared" si="25"/>
        <v>1732.4999999999998</v>
      </c>
      <c r="W51" s="44">
        <f t="shared" si="25"/>
        <v>1795.2199999999998</v>
      </c>
    </row>
    <row r="52" spans="2:25" x14ac:dyDescent="0.25">
      <c r="C52" s="40" t="s">
        <v>63</v>
      </c>
      <c r="D52" s="44">
        <f>D48</f>
        <v>0</v>
      </c>
      <c r="E52" s="44">
        <f t="shared" si="25"/>
        <v>0</v>
      </c>
      <c r="F52" s="44">
        <f t="shared" si="25"/>
        <v>0</v>
      </c>
      <c r="G52" s="44">
        <f t="shared" si="25"/>
        <v>0</v>
      </c>
      <c r="H52" s="44">
        <f t="shared" si="25"/>
        <v>0</v>
      </c>
      <c r="I52" s="44">
        <f t="shared" si="25"/>
        <v>0</v>
      </c>
      <c r="J52" s="44">
        <f t="shared" si="25"/>
        <v>0</v>
      </c>
      <c r="K52" s="44">
        <f t="shared" si="25"/>
        <v>0</v>
      </c>
      <c r="L52" s="44">
        <f t="shared" si="25"/>
        <v>0</v>
      </c>
      <c r="M52" s="44">
        <f t="shared" si="25"/>
        <v>0</v>
      </c>
      <c r="N52" s="44">
        <f t="shared" si="25"/>
        <v>0</v>
      </c>
      <c r="O52" s="44">
        <f t="shared" si="25"/>
        <v>192.81</v>
      </c>
      <c r="P52" s="44">
        <f t="shared" si="25"/>
        <v>332.35</v>
      </c>
      <c r="Q52" s="44">
        <f t="shared" si="25"/>
        <v>337.1</v>
      </c>
      <c r="R52" s="44">
        <f t="shared" si="25"/>
        <v>340.44</v>
      </c>
      <c r="S52" s="44">
        <f t="shared" si="25"/>
        <v>343.8</v>
      </c>
      <c r="T52" s="44">
        <f t="shared" si="25"/>
        <v>346.91</v>
      </c>
      <c r="U52" s="44">
        <f t="shared" si="25"/>
        <v>350.58000000000004</v>
      </c>
      <c r="V52" s="44">
        <f t="shared" si="25"/>
        <v>353.63000000000005</v>
      </c>
      <c r="W52" s="44">
        <f t="shared" si="25"/>
        <v>365.26000000000005</v>
      </c>
    </row>
    <row r="53" spans="2:25" x14ac:dyDescent="0.25"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</row>
    <row r="54" spans="2:25" ht="27" x14ac:dyDescent="0.35">
      <c r="C54" s="42" t="s">
        <v>80</v>
      </c>
    </row>
    <row r="55" spans="2:25" ht="15.75" x14ac:dyDescent="0.25">
      <c r="C55" s="43" t="s">
        <v>69</v>
      </c>
      <c r="D55" s="2">
        <v>2017</v>
      </c>
      <c r="E55" s="2">
        <f>D55+1</f>
        <v>2018</v>
      </c>
      <c r="F55" s="2">
        <f t="shared" ref="F55:Y55" si="26">E55+1</f>
        <v>2019</v>
      </c>
      <c r="G55" s="2">
        <f t="shared" si="26"/>
        <v>2020</v>
      </c>
      <c r="H55" s="2">
        <f t="shared" si="26"/>
        <v>2021</v>
      </c>
      <c r="I55" s="2">
        <f t="shared" si="26"/>
        <v>2022</v>
      </c>
      <c r="J55" s="2">
        <f t="shared" si="26"/>
        <v>2023</v>
      </c>
      <c r="K55" s="2">
        <f t="shared" si="26"/>
        <v>2024</v>
      </c>
      <c r="L55" s="2">
        <f t="shared" si="26"/>
        <v>2025</v>
      </c>
      <c r="M55" s="2">
        <f t="shared" si="26"/>
        <v>2026</v>
      </c>
      <c r="N55" s="2">
        <f t="shared" si="26"/>
        <v>2027</v>
      </c>
      <c r="O55" s="2">
        <f t="shared" si="26"/>
        <v>2028</v>
      </c>
      <c r="P55" s="2">
        <f t="shared" si="26"/>
        <v>2029</v>
      </c>
      <c r="Q55" s="2">
        <f t="shared" si="26"/>
        <v>2030</v>
      </c>
      <c r="R55" s="2">
        <f t="shared" si="26"/>
        <v>2031</v>
      </c>
      <c r="S55" s="2">
        <f t="shared" si="26"/>
        <v>2032</v>
      </c>
      <c r="T55" s="2">
        <f t="shared" si="26"/>
        <v>2033</v>
      </c>
      <c r="U55" s="2">
        <f t="shared" si="26"/>
        <v>2034</v>
      </c>
      <c r="V55" s="2">
        <f t="shared" si="26"/>
        <v>2035</v>
      </c>
      <c r="W55" s="2">
        <f t="shared" si="26"/>
        <v>2036</v>
      </c>
      <c r="X55" s="2">
        <f t="shared" si="26"/>
        <v>2037</v>
      </c>
      <c r="Y55" s="2">
        <f t="shared" si="26"/>
        <v>2038</v>
      </c>
    </row>
    <row r="56" spans="2:25" x14ac:dyDescent="0.25">
      <c r="C56" s="40" t="s">
        <v>66</v>
      </c>
      <c r="D56" s="44">
        <f>SUMIF($A$69:$A$500,$C56,D$69:D$500)</f>
        <v>500</v>
      </c>
      <c r="E56" s="44">
        <f t="shared" ref="E56:T57" si="27">SUMIF($A$69:$A$500,$C56,E$69:E$500)</f>
        <v>521.07500000000005</v>
      </c>
      <c r="F56" s="44">
        <f t="shared" si="27"/>
        <v>877.87300000000005</v>
      </c>
      <c r="G56" s="44">
        <f t="shared" si="27"/>
        <v>807.39</v>
      </c>
      <c r="H56" s="44">
        <f t="shared" si="27"/>
        <v>799.14100000000008</v>
      </c>
      <c r="I56" s="44">
        <f t="shared" si="27"/>
        <v>915.63900000000001</v>
      </c>
      <c r="J56" s="44">
        <f t="shared" si="27"/>
        <v>844.20600000000002</v>
      </c>
      <c r="K56" s="44">
        <f t="shared" si="27"/>
        <v>884.80899999999997</v>
      </c>
      <c r="L56" s="44">
        <f t="shared" si="27"/>
        <v>1042.1289999999999</v>
      </c>
      <c r="M56" s="44">
        <f t="shared" si="27"/>
        <v>978.16599999999994</v>
      </c>
      <c r="N56" s="44">
        <f t="shared" si="27"/>
        <v>1039.568</v>
      </c>
      <c r="O56" s="44">
        <f t="shared" si="27"/>
        <v>1575</v>
      </c>
      <c r="P56" s="44">
        <f t="shared" si="27"/>
        <v>1575</v>
      </c>
      <c r="Q56" s="44">
        <f t="shared" si="27"/>
        <v>1565.675</v>
      </c>
      <c r="R56" s="44">
        <f t="shared" si="27"/>
        <v>1575</v>
      </c>
      <c r="S56" s="44">
        <f t="shared" si="27"/>
        <v>1575</v>
      </c>
      <c r="T56" s="44">
        <f t="shared" si="27"/>
        <v>1575</v>
      </c>
      <c r="U56" s="44">
        <f t="shared" ref="U56:W57" si="28">SUMIF($A$69:$A$500,$C56,U$69:U$500)</f>
        <v>1575</v>
      </c>
      <c r="V56" s="44">
        <f t="shared" si="28"/>
        <v>1575</v>
      </c>
      <c r="W56" s="44">
        <f t="shared" si="28"/>
        <v>1538.607</v>
      </c>
    </row>
    <row r="57" spans="2:25" x14ac:dyDescent="0.25">
      <c r="C57" s="40" t="s">
        <v>98</v>
      </c>
      <c r="D57" s="44">
        <f t="shared" ref="D57" si="29">SUMIF($A$69:$A$500,$C57,D$69:D$500)</f>
        <v>281.012</v>
      </c>
      <c r="E57" s="44">
        <f t="shared" si="27"/>
        <v>332.17</v>
      </c>
      <c r="F57" s="44">
        <f t="shared" si="27"/>
        <v>272.65499999999997</v>
      </c>
      <c r="G57" s="44">
        <f t="shared" si="27"/>
        <v>307.34800000000001</v>
      </c>
      <c r="H57" s="44">
        <f t="shared" si="27"/>
        <v>319.30799999999999</v>
      </c>
      <c r="I57" s="44">
        <f t="shared" si="27"/>
        <v>307.57900000000001</v>
      </c>
      <c r="J57" s="44">
        <f t="shared" si="27"/>
        <v>305.923</v>
      </c>
      <c r="K57" s="44">
        <f t="shared" si="27"/>
        <v>287.03100000000001</v>
      </c>
      <c r="L57" s="44">
        <f t="shared" si="27"/>
        <v>347.536</v>
      </c>
      <c r="M57" s="44">
        <f t="shared" si="27"/>
        <v>351.096</v>
      </c>
      <c r="N57" s="44">
        <f t="shared" si="27"/>
        <v>296.75700000000001</v>
      </c>
      <c r="O57" s="44">
        <f t="shared" si="27"/>
        <v>412.488</v>
      </c>
      <c r="P57" s="44">
        <f t="shared" si="27"/>
        <v>550.63900000000001</v>
      </c>
      <c r="Q57" s="44">
        <f t="shared" si="27"/>
        <v>515.57100000000003</v>
      </c>
      <c r="R57" s="44">
        <f t="shared" si="27"/>
        <v>490.202</v>
      </c>
      <c r="S57" s="44">
        <f t="shared" si="27"/>
        <v>450.65800000000002</v>
      </c>
      <c r="T57" s="44">
        <f t="shared" si="27"/>
        <v>436.584</v>
      </c>
      <c r="U57" s="44">
        <f t="shared" si="28"/>
        <v>477.03399999999999</v>
      </c>
      <c r="V57" s="44">
        <f t="shared" si="28"/>
        <v>479.41199999999998</v>
      </c>
      <c r="W57" s="44">
        <f t="shared" si="28"/>
        <v>766.37799999999993</v>
      </c>
    </row>
    <row r="59" spans="2:25" x14ac:dyDescent="0.25">
      <c r="C59" s="40" t="s">
        <v>83</v>
      </c>
      <c r="D59" s="44">
        <f>D8+D30+D43</f>
        <v>0</v>
      </c>
      <c r="E59" s="44">
        <f t="shared" ref="E59:W59" si="30">E8+E30+E43</f>
        <v>0</v>
      </c>
      <c r="F59" s="44">
        <f t="shared" si="30"/>
        <v>-280</v>
      </c>
      <c r="G59" s="44">
        <f t="shared" si="30"/>
        <v>-280</v>
      </c>
      <c r="H59" s="44">
        <f t="shared" si="30"/>
        <v>-667</v>
      </c>
      <c r="I59" s="44">
        <f t="shared" si="30"/>
        <v>-667</v>
      </c>
      <c r="J59" s="44">
        <f t="shared" si="30"/>
        <v>-667</v>
      </c>
      <c r="K59" s="44">
        <f t="shared" si="30"/>
        <v>-667</v>
      </c>
      <c r="L59" s="44">
        <f t="shared" si="30"/>
        <v>-667</v>
      </c>
      <c r="M59" s="44">
        <f t="shared" si="30"/>
        <v>-749.3</v>
      </c>
      <c r="N59" s="44">
        <f t="shared" si="30"/>
        <v>-749.3</v>
      </c>
      <c r="O59" s="44">
        <f t="shared" si="30"/>
        <v>-1511.3</v>
      </c>
      <c r="P59" s="44">
        <f t="shared" si="30"/>
        <v>-1865.3</v>
      </c>
      <c r="Q59" s="44">
        <f t="shared" si="30"/>
        <v>-2222.3000000000002</v>
      </c>
      <c r="R59" s="44">
        <f t="shared" si="30"/>
        <v>-2300.0800000000004</v>
      </c>
      <c r="S59" s="44">
        <f t="shared" si="30"/>
        <v>-2300.0800000000004</v>
      </c>
      <c r="T59" s="44">
        <f t="shared" si="30"/>
        <v>-3016.8800000000006</v>
      </c>
      <c r="U59" s="44">
        <f t="shared" si="30"/>
        <v>-3016.8800000000006</v>
      </c>
      <c r="V59" s="44">
        <f t="shared" si="30"/>
        <v>-3098.4200000000005</v>
      </c>
      <c r="W59" s="44">
        <f t="shared" si="30"/>
        <v>-3098.4200000000005</v>
      </c>
    </row>
    <row r="60" spans="2:25" x14ac:dyDescent="0.25">
      <c r="G60" s="41">
        <f>AVERAGE(G56:N56)</f>
        <v>913.88100000000009</v>
      </c>
    </row>
    <row r="64" spans="2:25" ht="18.75" x14ac:dyDescent="0.3">
      <c r="B64" s="4" t="s">
        <v>121</v>
      </c>
      <c r="C64" s="5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1:23" ht="18.75" x14ac:dyDescent="0.3">
      <c r="B65" s="50" t="s">
        <v>122</v>
      </c>
      <c r="C65" s="7"/>
      <c r="D65" s="49" t="s">
        <v>6</v>
      </c>
      <c r="E65" s="8"/>
      <c r="F65" s="8"/>
      <c r="G65" s="9"/>
      <c r="H65" s="9"/>
      <c r="I65" s="8"/>
      <c r="J65" s="8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</row>
    <row r="66" spans="1:23" ht="18.75" x14ac:dyDescent="0.25">
      <c r="B66" s="10"/>
      <c r="C66" s="11"/>
      <c r="D66" s="12" t="s">
        <v>7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</row>
    <row r="67" spans="1:23" ht="15.75" x14ac:dyDescent="0.25">
      <c r="B67" s="14"/>
      <c r="C67" s="15" t="s">
        <v>0</v>
      </c>
      <c r="D67" s="2">
        <v>2017</v>
      </c>
      <c r="E67" s="3">
        <v>2018</v>
      </c>
      <c r="F67" s="3">
        <v>2019</v>
      </c>
      <c r="G67" s="3">
        <v>2020</v>
      </c>
      <c r="H67" s="3">
        <v>2021</v>
      </c>
      <c r="I67" s="3">
        <v>2022</v>
      </c>
      <c r="J67" s="3">
        <v>2023</v>
      </c>
      <c r="K67" s="3">
        <v>2024</v>
      </c>
      <c r="L67" s="3">
        <v>2025</v>
      </c>
      <c r="M67" s="3">
        <v>2026</v>
      </c>
      <c r="N67" s="3">
        <v>2027</v>
      </c>
      <c r="O67" s="3">
        <v>2028</v>
      </c>
      <c r="P67" s="3">
        <v>2029</v>
      </c>
      <c r="Q67" s="3">
        <v>2030</v>
      </c>
      <c r="R67" s="3">
        <v>2031</v>
      </c>
      <c r="S67" s="3">
        <v>2032</v>
      </c>
      <c r="T67" s="3">
        <v>2033</v>
      </c>
      <c r="U67" s="3">
        <v>2034</v>
      </c>
      <c r="V67" s="3">
        <v>2035</v>
      </c>
      <c r="W67" s="3">
        <v>2036</v>
      </c>
    </row>
    <row r="68" spans="1:23" x14ac:dyDescent="0.25">
      <c r="B68" s="51" t="s">
        <v>1</v>
      </c>
      <c r="C68" s="17" t="s">
        <v>123</v>
      </c>
      <c r="D68" s="18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20"/>
    </row>
    <row r="69" spans="1:23" ht="15.75" x14ac:dyDescent="0.25">
      <c r="A69" s="40" t="s">
        <v>73</v>
      </c>
      <c r="B69" s="21"/>
      <c r="C69" s="52" t="s">
        <v>3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-82.3</v>
      </c>
      <c r="N69" s="23">
        <v>0</v>
      </c>
      <c r="O69" s="23">
        <v>0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</row>
    <row r="70" spans="1:23" ht="15.75" x14ac:dyDescent="0.25">
      <c r="A70" s="40" t="s">
        <v>73</v>
      </c>
      <c r="B70" s="21"/>
      <c r="C70" s="52" t="s">
        <v>124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-81.540000000000006</v>
      </c>
      <c r="W70" s="23">
        <v>0</v>
      </c>
    </row>
    <row r="71" spans="1:23" ht="15.75" x14ac:dyDescent="0.25">
      <c r="A71" s="40" t="s">
        <v>73</v>
      </c>
      <c r="B71" s="21"/>
      <c r="C71" s="52" t="s">
        <v>4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3">
        <v>0</v>
      </c>
      <c r="R71" s="23">
        <v>-45.1</v>
      </c>
      <c r="S71" s="23">
        <v>0</v>
      </c>
      <c r="T71" s="23">
        <v>0</v>
      </c>
      <c r="U71" s="23">
        <v>0</v>
      </c>
      <c r="V71" s="23">
        <v>0</v>
      </c>
      <c r="W71" s="23">
        <v>0</v>
      </c>
    </row>
    <row r="72" spans="1:23" ht="15.75" x14ac:dyDescent="0.25">
      <c r="A72" s="40" t="s">
        <v>73</v>
      </c>
      <c r="B72" s="21"/>
      <c r="C72" s="52" t="s">
        <v>5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  <c r="R72" s="23">
        <v>-32.68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</row>
    <row r="73" spans="1:23" ht="15.75" x14ac:dyDescent="0.25">
      <c r="A73" s="40" t="s">
        <v>73</v>
      </c>
      <c r="B73" s="21"/>
      <c r="C73" s="52" t="s">
        <v>10</v>
      </c>
      <c r="D73" s="23">
        <v>0</v>
      </c>
      <c r="E73" s="23">
        <v>0</v>
      </c>
      <c r="F73" s="23">
        <v>0</v>
      </c>
      <c r="G73" s="23">
        <v>0</v>
      </c>
      <c r="H73" s="23">
        <v>-387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  <c r="Q73" s="23">
        <v>0</v>
      </c>
      <c r="R73" s="23">
        <v>0</v>
      </c>
      <c r="S73" s="23">
        <v>0</v>
      </c>
      <c r="T73" s="23">
        <v>0</v>
      </c>
      <c r="U73" s="23">
        <v>0</v>
      </c>
      <c r="V73" s="23">
        <v>0</v>
      </c>
      <c r="W73" s="23">
        <v>0</v>
      </c>
    </row>
    <row r="74" spans="1:23" ht="15.75" x14ac:dyDescent="0.25">
      <c r="A74" s="40" t="s">
        <v>73</v>
      </c>
      <c r="B74" s="21"/>
      <c r="C74" s="52" t="s">
        <v>11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-106</v>
      </c>
      <c r="P74" s="23">
        <v>0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</row>
    <row r="75" spans="1:23" ht="15.75" x14ac:dyDescent="0.25">
      <c r="A75" s="40" t="s">
        <v>73</v>
      </c>
      <c r="B75" s="21"/>
      <c r="C75" s="52" t="s">
        <v>12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-106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</row>
    <row r="76" spans="1:23" ht="15.75" x14ac:dyDescent="0.25">
      <c r="A76" s="40" t="s">
        <v>73</v>
      </c>
      <c r="B76" s="21"/>
      <c r="C76" s="52" t="s">
        <v>13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-220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</row>
    <row r="77" spans="1:23" ht="15.75" x14ac:dyDescent="0.25">
      <c r="A77" s="40" t="s">
        <v>73</v>
      </c>
      <c r="B77" s="21"/>
      <c r="C77" s="52" t="s">
        <v>14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-330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</row>
    <row r="78" spans="1:23" ht="15.75" x14ac:dyDescent="0.25">
      <c r="A78" s="40" t="s">
        <v>73</v>
      </c>
      <c r="B78" s="21"/>
      <c r="C78" s="52" t="s">
        <v>125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-156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</row>
    <row r="79" spans="1:23" ht="15.75" x14ac:dyDescent="0.25">
      <c r="A79" s="40" t="s">
        <v>73</v>
      </c>
      <c r="B79" s="21"/>
      <c r="C79" s="52" t="s">
        <v>126</v>
      </c>
      <c r="D79" s="23">
        <v>0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-201</v>
      </c>
      <c r="R79" s="23">
        <v>0</v>
      </c>
      <c r="S79" s="23">
        <v>0</v>
      </c>
      <c r="T79" s="23">
        <v>0</v>
      </c>
      <c r="U79" s="23">
        <v>0</v>
      </c>
      <c r="V79" s="23">
        <v>0</v>
      </c>
      <c r="W79" s="23">
        <v>0</v>
      </c>
    </row>
    <row r="80" spans="1:23" ht="15.75" x14ac:dyDescent="0.25">
      <c r="A80" s="40" t="s">
        <v>73</v>
      </c>
      <c r="B80" s="21"/>
      <c r="C80" s="52" t="s">
        <v>15</v>
      </c>
      <c r="D80" s="23">
        <v>0</v>
      </c>
      <c r="E80" s="23">
        <v>0</v>
      </c>
      <c r="F80" s="23">
        <v>-280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23">
        <v>0</v>
      </c>
      <c r="W80" s="23">
        <v>0</v>
      </c>
    </row>
    <row r="81" spans="1:23" ht="15.75" x14ac:dyDescent="0.25">
      <c r="A81" s="40" t="s">
        <v>74</v>
      </c>
      <c r="B81" s="21"/>
      <c r="C81" s="52" t="s">
        <v>16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  <c r="S81" s="24">
        <v>0</v>
      </c>
      <c r="T81" s="24">
        <v>-357.5</v>
      </c>
      <c r="U81" s="24">
        <v>0</v>
      </c>
      <c r="V81" s="24">
        <v>0</v>
      </c>
      <c r="W81" s="24">
        <v>0</v>
      </c>
    </row>
    <row r="82" spans="1:23" x14ac:dyDescent="0.25">
      <c r="B82" s="21"/>
      <c r="C82" s="17" t="s">
        <v>22</v>
      </c>
      <c r="D82" s="18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20"/>
    </row>
    <row r="83" spans="1:23" ht="16.5" thickBot="1" x14ac:dyDescent="0.3">
      <c r="A83" s="40" t="s">
        <v>67</v>
      </c>
      <c r="B83" s="25"/>
      <c r="C83" s="26" t="s">
        <v>127</v>
      </c>
      <c r="D83" s="24">
        <v>0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24">
        <v>0</v>
      </c>
      <c r="Q83" s="24">
        <v>0</v>
      </c>
      <c r="R83" s="24">
        <v>0</v>
      </c>
      <c r="S83" s="24">
        <v>0</v>
      </c>
      <c r="T83" s="24">
        <v>476.577</v>
      </c>
      <c r="U83" s="24">
        <v>0</v>
      </c>
      <c r="V83" s="24">
        <v>0</v>
      </c>
      <c r="W83" s="24">
        <v>0</v>
      </c>
    </row>
    <row r="84" spans="1:23" ht="16.5" thickBot="1" x14ac:dyDescent="0.3">
      <c r="B84" s="25"/>
      <c r="C84" s="27" t="s">
        <v>128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  <c r="Q84" s="28">
        <v>0</v>
      </c>
      <c r="R84" s="28">
        <v>0</v>
      </c>
      <c r="S84" s="28">
        <v>0</v>
      </c>
      <c r="T84" s="28">
        <v>476.577</v>
      </c>
      <c r="U84" s="28">
        <v>0</v>
      </c>
      <c r="V84" s="28">
        <v>0</v>
      </c>
      <c r="W84" s="28">
        <v>0</v>
      </c>
    </row>
    <row r="85" spans="1:23" ht="15.75" x14ac:dyDescent="0.25">
      <c r="A85" s="40" t="s">
        <v>62</v>
      </c>
      <c r="B85" s="25"/>
      <c r="C85" s="26" t="s">
        <v>129</v>
      </c>
      <c r="D85" s="24">
        <v>0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  <c r="O85" s="24">
        <v>0</v>
      </c>
      <c r="P85" s="24">
        <v>0</v>
      </c>
      <c r="Q85" s="24">
        <v>0</v>
      </c>
      <c r="R85" s="24">
        <v>0</v>
      </c>
      <c r="S85" s="24">
        <v>0</v>
      </c>
      <c r="T85" s="24">
        <v>199.92400000000001</v>
      </c>
      <c r="U85" s="24">
        <v>0</v>
      </c>
      <c r="V85" s="24">
        <v>0</v>
      </c>
      <c r="W85" s="24">
        <v>0</v>
      </c>
    </row>
    <row r="86" spans="1:23" ht="15.75" x14ac:dyDescent="0.25">
      <c r="A86" s="40" t="s">
        <v>62</v>
      </c>
      <c r="B86" s="25"/>
      <c r="C86" s="26" t="s">
        <v>130</v>
      </c>
      <c r="D86" s="24">
        <v>0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24">
        <v>199.92400000000001</v>
      </c>
      <c r="Q86" s="24">
        <v>0</v>
      </c>
      <c r="R86" s="24">
        <v>0</v>
      </c>
      <c r="S86" s="24">
        <v>0</v>
      </c>
      <c r="T86" s="24">
        <v>0</v>
      </c>
      <c r="U86" s="24">
        <v>0</v>
      </c>
      <c r="V86" s="24">
        <v>0</v>
      </c>
      <c r="W86" s="24">
        <v>0</v>
      </c>
    </row>
    <row r="87" spans="1:23" ht="15.75" x14ac:dyDescent="0.25">
      <c r="A87" s="40" t="s">
        <v>59</v>
      </c>
      <c r="B87" s="25"/>
      <c r="C87" s="26" t="s">
        <v>25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0</v>
      </c>
      <c r="Q87" s="24">
        <v>0</v>
      </c>
      <c r="R87" s="24">
        <v>85.498999999999995</v>
      </c>
      <c r="S87" s="24">
        <v>0</v>
      </c>
      <c r="T87" s="24">
        <v>0</v>
      </c>
      <c r="U87" s="24">
        <v>0</v>
      </c>
      <c r="V87" s="24">
        <v>0</v>
      </c>
      <c r="W87" s="24">
        <v>0</v>
      </c>
    </row>
    <row r="88" spans="1:23" ht="15.75" x14ac:dyDescent="0.25">
      <c r="A88" s="40" t="s">
        <v>59</v>
      </c>
      <c r="B88" s="25"/>
      <c r="C88" s="26" t="s">
        <v>26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4">
        <v>0</v>
      </c>
      <c r="Q88" s="24">
        <v>0</v>
      </c>
      <c r="R88" s="24">
        <v>0</v>
      </c>
      <c r="S88" s="24">
        <v>0</v>
      </c>
      <c r="T88" s="24">
        <v>0</v>
      </c>
      <c r="U88" s="24">
        <v>0</v>
      </c>
      <c r="V88" s="24">
        <v>0</v>
      </c>
      <c r="W88" s="24">
        <v>773.98800000000006</v>
      </c>
    </row>
    <row r="89" spans="1:23" ht="16.5" thickBot="1" x14ac:dyDescent="0.3">
      <c r="A89" s="40" t="s">
        <v>59</v>
      </c>
      <c r="B89" s="25"/>
      <c r="C89" s="26" t="s">
        <v>27</v>
      </c>
      <c r="D89" s="24">
        <v>0</v>
      </c>
      <c r="E89" s="24">
        <v>0</v>
      </c>
      <c r="F89" s="24">
        <v>0</v>
      </c>
      <c r="G89" s="24">
        <v>0</v>
      </c>
      <c r="H89" s="24">
        <v>1100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24">
        <v>0</v>
      </c>
      <c r="O89" s="24">
        <v>0</v>
      </c>
      <c r="P89" s="24">
        <v>0</v>
      </c>
      <c r="Q89" s="24">
        <v>0</v>
      </c>
      <c r="R89" s="24">
        <v>0</v>
      </c>
      <c r="S89" s="24">
        <v>0</v>
      </c>
      <c r="T89" s="24">
        <v>0</v>
      </c>
      <c r="U89" s="24">
        <v>0</v>
      </c>
      <c r="V89" s="24">
        <v>0</v>
      </c>
      <c r="W89" s="24">
        <v>0</v>
      </c>
    </row>
    <row r="90" spans="1:23" ht="16.5" thickBot="1" x14ac:dyDescent="0.3">
      <c r="B90" s="25"/>
      <c r="C90" s="27" t="s">
        <v>28</v>
      </c>
      <c r="D90" s="28">
        <v>0</v>
      </c>
      <c r="E90" s="28">
        <v>0</v>
      </c>
      <c r="F90" s="28">
        <v>0</v>
      </c>
      <c r="G90" s="28">
        <v>0</v>
      </c>
      <c r="H90" s="28">
        <v>1100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28">
        <v>0</v>
      </c>
      <c r="P90" s="28">
        <v>0</v>
      </c>
      <c r="Q90" s="28">
        <v>0</v>
      </c>
      <c r="R90" s="28">
        <v>85.498999999999995</v>
      </c>
      <c r="S90" s="28">
        <v>0</v>
      </c>
      <c r="T90" s="28">
        <v>0</v>
      </c>
      <c r="U90" s="28">
        <v>0</v>
      </c>
      <c r="V90" s="28">
        <v>0</v>
      </c>
      <c r="W90" s="28">
        <v>773.98800000000006</v>
      </c>
    </row>
    <row r="91" spans="1:23" ht="15.75" x14ac:dyDescent="0.25">
      <c r="A91" s="40" t="s">
        <v>60</v>
      </c>
      <c r="B91" s="25"/>
      <c r="C91" s="29" t="s">
        <v>131</v>
      </c>
      <c r="D91" s="53">
        <v>0</v>
      </c>
      <c r="E91" s="53">
        <v>0</v>
      </c>
      <c r="F91" s="53">
        <v>0</v>
      </c>
      <c r="G91" s="53">
        <v>0</v>
      </c>
      <c r="H91" s="53">
        <v>0</v>
      </c>
      <c r="I91" s="53">
        <v>0</v>
      </c>
      <c r="J91" s="53">
        <v>0</v>
      </c>
      <c r="K91" s="53">
        <v>0</v>
      </c>
      <c r="L91" s="53">
        <v>0</v>
      </c>
      <c r="M91" s="53">
        <v>0</v>
      </c>
      <c r="N91" s="53">
        <v>0</v>
      </c>
      <c r="O91" s="53">
        <v>0</v>
      </c>
      <c r="P91" s="53">
        <v>0</v>
      </c>
      <c r="Q91" s="53">
        <v>0</v>
      </c>
      <c r="R91" s="53">
        <v>79.44</v>
      </c>
      <c r="S91" s="53">
        <v>166.625</v>
      </c>
      <c r="T91" s="53">
        <v>209.99100000000001</v>
      </c>
      <c r="U91" s="53">
        <v>40.779000000000003</v>
      </c>
      <c r="V91" s="53">
        <v>290.57600000000002</v>
      </c>
      <c r="W91" s="53">
        <v>12.589</v>
      </c>
    </row>
    <row r="92" spans="1:23" ht="15.75" x14ac:dyDescent="0.25">
      <c r="A92" s="40" t="s">
        <v>63</v>
      </c>
      <c r="B92" s="25"/>
      <c r="C92" s="29" t="s">
        <v>132</v>
      </c>
      <c r="D92" s="30">
        <v>0</v>
      </c>
      <c r="E92" s="30">
        <v>0</v>
      </c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30">
        <v>0</v>
      </c>
      <c r="P92" s="30">
        <v>3.35</v>
      </c>
      <c r="Q92" s="30">
        <v>0</v>
      </c>
      <c r="R92" s="30">
        <v>0</v>
      </c>
      <c r="S92" s="30">
        <v>0</v>
      </c>
      <c r="T92" s="30">
        <v>0</v>
      </c>
      <c r="U92" s="30">
        <v>0</v>
      </c>
      <c r="V92" s="30">
        <v>0</v>
      </c>
      <c r="W92" s="30">
        <v>1.34</v>
      </c>
    </row>
    <row r="93" spans="1:23" ht="15.75" x14ac:dyDescent="0.25">
      <c r="A93" s="40" t="s">
        <v>63</v>
      </c>
      <c r="B93" s="25"/>
      <c r="C93" s="29" t="s">
        <v>133</v>
      </c>
      <c r="D93" s="30">
        <v>0</v>
      </c>
      <c r="E93" s="30">
        <v>0</v>
      </c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30">
        <v>0</v>
      </c>
      <c r="P93" s="30">
        <v>1.93</v>
      </c>
      <c r="Q93" s="30">
        <v>0</v>
      </c>
      <c r="R93" s="30">
        <v>0</v>
      </c>
      <c r="S93" s="30">
        <v>0</v>
      </c>
      <c r="T93" s="30">
        <v>0</v>
      </c>
      <c r="U93" s="30">
        <v>0</v>
      </c>
      <c r="V93" s="30">
        <v>0</v>
      </c>
      <c r="W93" s="30">
        <v>0</v>
      </c>
    </row>
    <row r="94" spans="1:23" ht="15.75" x14ac:dyDescent="0.25">
      <c r="A94" s="40" t="s">
        <v>63</v>
      </c>
      <c r="B94" s="25"/>
      <c r="C94" s="29" t="s">
        <v>134</v>
      </c>
      <c r="D94" s="30">
        <v>0</v>
      </c>
      <c r="E94" s="30">
        <v>0</v>
      </c>
      <c r="F94" s="30">
        <v>0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10.93</v>
      </c>
      <c r="P94" s="30">
        <v>3.94</v>
      </c>
      <c r="Q94" s="30">
        <v>0</v>
      </c>
      <c r="R94" s="30">
        <v>0</v>
      </c>
      <c r="S94" s="30">
        <v>3.36</v>
      </c>
      <c r="T94" s="30">
        <v>0</v>
      </c>
      <c r="U94" s="30">
        <v>0</v>
      </c>
      <c r="V94" s="30">
        <v>3.05</v>
      </c>
      <c r="W94" s="30">
        <v>0</v>
      </c>
    </row>
    <row r="95" spans="1:23" ht="15.75" x14ac:dyDescent="0.25">
      <c r="A95" s="40" t="s">
        <v>63</v>
      </c>
      <c r="B95" s="25"/>
      <c r="C95" s="29" t="s">
        <v>135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1">
        <v>0</v>
      </c>
      <c r="N95" s="31">
        <v>0</v>
      </c>
      <c r="O95" s="31">
        <v>68.37</v>
      </c>
      <c r="P95" s="31">
        <v>0</v>
      </c>
      <c r="Q95" s="31">
        <v>0</v>
      </c>
      <c r="R95" s="31">
        <v>0</v>
      </c>
      <c r="S95" s="31">
        <v>0</v>
      </c>
      <c r="T95" s="31">
        <v>0</v>
      </c>
      <c r="U95" s="31">
        <v>0</v>
      </c>
      <c r="V95" s="31">
        <v>0</v>
      </c>
      <c r="W95" s="31">
        <v>0</v>
      </c>
    </row>
    <row r="96" spans="1:23" ht="15.75" x14ac:dyDescent="0.25">
      <c r="A96" s="40" t="s">
        <v>63</v>
      </c>
      <c r="B96" s="25"/>
      <c r="C96" s="29" t="s">
        <v>136</v>
      </c>
      <c r="D96" s="30">
        <v>0</v>
      </c>
      <c r="E96" s="30">
        <v>0</v>
      </c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34.75</v>
      </c>
      <c r="P96" s="30">
        <v>40.54</v>
      </c>
      <c r="Q96" s="30">
        <v>4.75</v>
      </c>
      <c r="R96" s="30">
        <v>0</v>
      </c>
      <c r="S96" s="30">
        <v>0</v>
      </c>
      <c r="T96" s="30">
        <v>0</v>
      </c>
      <c r="U96" s="30">
        <v>3.67</v>
      </c>
      <c r="V96" s="30">
        <v>0</v>
      </c>
      <c r="W96" s="30">
        <v>2.2200000000000002</v>
      </c>
    </row>
    <row r="97" spans="1:23" ht="15.75" x14ac:dyDescent="0.25">
      <c r="A97" s="40" t="s">
        <v>63</v>
      </c>
      <c r="B97" s="25"/>
      <c r="C97" s="29" t="s">
        <v>137</v>
      </c>
      <c r="D97" s="30">
        <v>0</v>
      </c>
      <c r="E97" s="30"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3.05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3.25</v>
      </c>
    </row>
    <row r="98" spans="1:23" ht="15.75" x14ac:dyDescent="0.25">
      <c r="A98" s="40" t="s">
        <v>63</v>
      </c>
      <c r="B98" s="25"/>
      <c r="C98" s="29" t="s">
        <v>138</v>
      </c>
      <c r="D98" s="30">
        <v>0</v>
      </c>
      <c r="E98" s="30">
        <v>0</v>
      </c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4.78</v>
      </c>
      <c r="P98" s="30">
        <v>0</v>
      </c>
      <c r="Q98" s="30">
        <v>0</v>
      </c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30">
        <v>2.87</v>
      </c>
    </row>
    <row r="99" spans="1:23" ht="15.75" x14ac:dyDescent="0.25">
      <c r="A99" s="40" t="s">
        <v>63</v>
      </c>
      <c r="B99" s="25"/>
      <c r="C99" s="29" t="s">
        <v>139</v>
      </c>
      <c r="D99" s="30">
        <v>0</v>
      </c>
      <c r="E99" s="30">
        <v>0</v>
      </c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40.71</v>
      </c>
      <c r="Q99" s="30">
        <v>0</v>
      </c>
      <c r="R99" s="30">
        <v>0</v>
      </c>
      <c r="S99" s="30">
        <v>0</v>
      </c>
      <c r="T99" s="30">
        <v>3.11</v>
      </c>
      <c r="U99" s="30">
        <v>0</v>
      </c>
      <c r="V99" s="30">
        <v>0</v>
      </c>
      <c r="W99" s="30">
        <v>1.95</v>
      </c>
    </row>
    <row r="100" spans="1:23" ht="16.5" thickBot="1" x14ac:dyDescent="0.3">
      <c r="A100" s="40" t="s">
        <v>63</v>
      </c>
      <c r="B100" s="25"/>
      <c r="C100" s="29" t="s">
        <v>140</v>
      </c>
      <c r="D100" s="30">
        <v>0</v>
      </c>
      <c r="E100" s="30">
        <v>0</v>
      </c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1.88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</row>
    <row r="101" spans="1:23" ht="16.5" thickBot="1" x14ac:dyDescent="0.3">
      <c r="B101" s="25"/>
      <c r="C101" s="27" t="s">
        <v>141</v>
      </c>
      <c r="D101" s="32">
        <v>0</v>
      </c>
      <c r="E101" s="32">
        <v>0</v>
      </c>
      <c r="F101" s="32">
        <v>0</v>
      </c>
      <c r="G101" s="32">
        <v>0</v>
      </c>
      <c r="H101" s="32">
        <v>0</v>
      </c>
      <c r="I101" s="32">
        <v>0</v>
      </c>
      <c r="J101" s="32">
        <v>0</v>
      </c>
      <c r="K101" s="32">
        <v>0</v>
      </c>
      <c r="L101" s="32">
        <v>0</v>
      </c>
      <c r="M101" s="32">
        <v>0</v>
      </c>
      <c r="N101" s="32">
        <v>0</v>
      </c>
      <c r="O101" s="32">
        <v>123.76</v>
      </c>
      <c r="P101" s="32">
        <v>90.47</v>
      </c>
      <c r="Q101" s="32">
        <v>4.75</v>
      </c>
      <c r="R101" s="32">
        <v>0</v>
      </c>
      <c r="S101" s="32">
        <v>3.36</v>
      </c>
      <c r="T101" s="32">
        <v>3.11</v>
      </c>
      <c r="U101" s="32">
        <v>3.67</v>
      </c>
      <c r="V101" s="32">
        <v>3.05</v>
      </c>
      <c r="W101" s="32">
        <v>11.629999999999999</v>
      </c>
    </row>
    <row r="102" spans="1:23" ht="15.75" x14ac:dyDescent="0.25">
      <c r="A102" s="40" t="s">
        <v>64</v>
      </c>
      <c r="B102" s="25"/>
      <c r="C102" s="18" t="s">
        <v>142</v>
      </c>
      <c r="D102" s="24">
        <v>4.57</v>
      </c>
      <c r="E102" s="24">
        <v>6.5</v>
      </c>
      <c r="F102" s="24">
        <v>6.5299999999999994</v>
      </c>
      <c r="G102" s="24">
        <v>5.59</v>
      </c>
      <c r="H102" s="24">
        <v>5.7900000000000009</v>
      </c>
      <c r="I102" s="24">
        <v>5.42</v>
      </c>
      <c r="J102" s="24">
        <v>5.24</v>
      </c>
      <c r="K102" s="24">
        <v>5.5400000000000009</v>
      </c>
      <c r="L102" s="24">
        <v>5.33</v>
      </c>
      <c r="M102" s="24">
        <v>5.58</v>
      </c>
      <c r="N102" s="24">
        <v>5.25</v>
      </c>
      <c r="O102" s="24">
        <v>4.93</v>
      </c>
      <c r="P102" s="24">
        <v>4.76</v>
      </c>
      <c r="Q102" s="24">
        <v>4.57</v>
      </c>
      <c r="R102" s="24">
        <v>4.43</v>
      </c>
      <c r="S102" s="24">
        <v>3.7300000000000004</v>
      </c>
      <c r="T102" s="24">
        <v>3.48</v>
      </c>
      <c r="U102" s="24">
        <v>2.86</v>
      </c>
      <c r="V102" s="24">
        <v>2.56</v>
      </c>
      <c r="W102" s="24">
        <v>2.64</v>
      </c>
    </row>
    <row r="103" spans="1:23" ht="15.75" x14ac:dyDescent="0.25">
      <c r="A103" s="40" t="s">
        <v>64</v>
      </c>
      <c r="B103" s="25"/>
      <c r="C103" s="18" t="s">
        <v>143</v>
      </c>
      <c r="D103" s="24">
        <v>84.4</v>
      </c>
      <c r="E103" s="24">
        <v>57.6</v>
      </c>
      <c r="F103" s="24">
        <v>61.5</v>
      </c>
      <c r="G103" s="24">
        <v>59.4</v>
      </c>
      <c r="H103" s="24">
        <v>61.5</v>
      </c>
      <c r="I103" s="24">
        <v>58.400000000000006</v>
      </c>
      <c r="J103" s="24">
        <v>65.8</v>
      </c>
      <c r="K103" s="24">
        <v>65.7</v>
      </c>
      <c r="L103" s="24">
        <v>62.6</v>
      </c>
      <c r="M103" s="24">
        <v>64.700000000000017</v>
      </c>
      <c r="N103" s="24">
        <v>64.600000000000009</v>
      </c>
      <c r="O103" s="24">
        <v>60.70000000000001</v>
      </c>
      <c r="P103" s="24">
        <v>56.800000000000011</v>
      </c>
      <c r="Q103" s="24">
        <v>56.999999999999993</v>
      </c>
      <c r="R103" s="24">
        <v>59.000000000000007</v>
      </c>
      <c r="S103" s="24">
        <v>49.300000000000011</v>
      </c>
      <c r="T103" s="24">
        <v>43.900000000000006</v>
      </c>
      <c r="U103" s="24">
        <v>37.000000000000007</v>
      </c>
      <c r="V103" s="24">
        <v>34.200000000000003</v>
      </c>
      <c r="W103" s="24">
        <v>34.800000000000004</v>
      </c>
    </row>
    <row r="104" spans="1:23" ht="16.5" thickBot="1" x14ac:dyDescent="0.3">
      <c r="A104" s="40" t="s">
        <v>64</v>
      </c>
      <c r="B104" s="25"/>
      <c r="C104" s="18" t="s">
        <v>144</v>
      </c>
      <c r="D104" s="24">
        <v>7.5449999999999999</v>
      </c>
      <c r="E104" s="24">
        <v>10.210000000000001</v>
      </c>
      <c r="F104" s="24">
        <v>10.809999999999999</v>
      </c>
      <c r="G104" s="24">
        <v>10.28</v>
      </c>
      <c r="H104" s="24">
        <v>13.26</v>
      </c>
      <c r="I104" s="24">
        <v>13.489999999999998</v>
      </c>
      <c r="J104" s="24">
        <v>13.71</v>
      </c>
      <c r="K104" s="24">
        <v>13.75</v>
      </c>
      <c r="L104" s="24">
        <v>14.48</v>
      </c>
      <c r="M104" s="24">
        <v>13.88</v>
      </c>
      <c r="N104" s="24">
        <v>12.49</v>
      </c>
      <c r="O104" s="24">
        <v>11.32</v>
      </c>
      <c r="P104" s="24">
        <v>11.48</v>
      </c>
      <c r="Q104" s="24">
        <v>11.030000000000001</v>
      </c>
      <c r="R104" s="24">
        <v>10.64</v>
      </c>
      <c r="S104" s="24">
        <v>8.92</v>
      </c>
      <c r="T104" s="24">
        <v>7.62</v>
      </c>
      <c r="U104" s="24">
        <v>6.8900000000000006</v>
      </c>
      <c r="V104" s="24">
        <v>6.96</v>
      </c>
      <c r="W104" s="24">
        <v>6.98</v>
      </c>
    </row>
    <row r="105" spans="1:23" ht="16.5" thickBot="1" x14ac:dyDescent="0.3">
      <c r="B105" s="25"/>
      <c r="C105" s="27" t="s">
        <v>145</v>
      </c>
      <c r="D105" s="28">
        <v>96.515000000000001</v>
      </c>
      <c r="E105" s="28">
        <v>74.31</v>
      </c>
      <c r="F105" s="28">
        <v>78.84</v>
      </c>
      <c r="G105" s="28">
        <v>75.27</v>
      </c>
      <c r="H105" s="28">
        <v>80.550000000000011</v>
      </c>
      <c r="I105" s="28">
        <v>77.31</v>
      </c>
      <c r="J105" s="28">
        <v>84.75</v>
      </c>
      <c r="K105" s="28">
        <v>84.990000000000009</v>
      </c>
      <c r="L105" s="28">
        <v>82.410000000000011</v>
      </c>
      <c r="M105" s="28">
        <v>84.160000000000011</v>
      </c>
      <c r="N105" s="28">
        <v>82.34</v>
      </c>
      <c r="O105" s="28">
        <v>76.950000000000017</v>
      </c>
      <c r="P105" s="28">
        <v>73.040000000000006</v>
      </c>
      <c r="Q105" s="28">
        <v>72.599999999999994</v>
      </c>
      <c r="R105" s="28">
        <v>74.070000000000007</v>
      </c>
      <c r="S105" s="28">
        <v>61.950000000000017</v>
      </c>
      <c r="T105" s="28">
        <v>55</v>
      </c>
      <c r="U105" s="28">
        <v>46.750000000000007</v>
      </c>
      <c r="V105" s="28">
        <v>43.720000000000006</v>
      </c>
      <c r="W105" s="28">
        <v>44.42</v>
      </c>
    </row>
    <row r="106" spans="1:23" ht="15.75" x14ac:dyDescent="0.25">
      <c r="A106" s="40" t="s">
        <v>66</v>
      </c>
      <c r="B106" s="25"/>
      <c r="C106" s="54" t="s">
        <v>146</v>
      </c>
      <c r="D106" s="24">
        <v>0</v>
      </c>
      <c r="E106" s="24">
        <v>0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27.126000000000001</v>
      </c>
      <c r="N106" s="24">
        <v>27.126000000000001</v>
      </c>
      <c r="O106" s="24">
        <v>300</v>
      </c>
      <c r="P106" s="24">
        <v>300</v>
      </c>
      <c r="Q106" s="24">
        <v>290.67500000000001</v>
      </c>
      <c r="R106" s="24">
        <v>300</v>
      </c>
      <c r="S106" s="24">
        <v>300</v>
      </c>
      <c r="T106" s="24">
        <v>300</v>
      </c>
      <c r="U106" s="24">
        <v>300</v>
      </c>
      <c r="V106" s="24">
        <v>300</v>
      </c>
      <c r="W106" s="24">
        <v>300</v>
      </c>
    </row>
    <row r="107" spans="1:23" x14ac:dyDescent="0.25">
      <c r="B107" s="51" t="s">
        <v>48</v>
      </c>
      <c r="C107" s="17" t="s">
        <v>123</v>
      </c>
      <c r="D107" s="18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20"/>
    </row>
    <row r="108" spans="1:23" ht="15.75" x14ac:dyDescent="0.25">
      <c r="A108" s="40" t="s">
        <v>73</v>
      </c>
      <c r="B108" s="21"/>
      <c r="C108" s="52" t="s">
        <v>91</v>
      </c>
      <c r="D108" s="23">
        <v>0</v>
      </c>
      <c r="E108" s="23">
        <v>0</v>
      </c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-354</v>
      </c>
      <c r="Q108" s="23">
        <v>0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</row>
    <row r="109" spans="1:23" ht="15.75" x14ac:dyDescent="0.25">
      <c r="A109" s="40" t="s">
        <v>73</v>
      </c>
      <c r="B109" s="21"/>
      <c r="C109" s="52" t="s">
        <v>92</v>
      </c>
      <c r="D109" s="23">
        <v>0</v>
      </c>
      <c r="E109" s="23">
        <v>0</v>
      </c>
      <c r="F109" s="23">
        <v>0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  <c r="Q109" s="23">
        <v>0</v>
      </c>
      <c r="R109" s="23">
        <v>0</v>
      </c>
      <c r="S109" s="23">
        <v>0</v>
      </c>
      <c r="T109" s="23">
        <v>-359.3</v>
      </c>
      <c r="U109" s="23">
        <v>0</v>
      </c>
      <c r="V109" s="23">
        <v>0</v>
      </c>
      <c r="W109" s="23">
        <v>0</v>
      </c>
    </row>
    <row r="110" spans="1:23" x14ac:dyDescent="0.25">
      <c r="B110" s="35"/>
      <c r="C110" s="17" t="s">
        <v>22</v>
      </c>
      <c r="D110" s="18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20"/>
    </row>
    <row r="111" spans="1:23" ht="16.5" thickBot="1" x14ac:dyDescent="0.3">
      <c r="A111" s="40" t="s">
        <v>67</v>
      </c>
      <c r="B111" s="55"/>
      <c r="C111" s="56" t="s">
        <v>147</v>
      </c>
      <c r="D111" s="24">
        <v>0</v>
      </c>
      <c r="E111" s="24">
        <v>0</v>
      </c>
      <c r="F111" s="24">
        <v>0</v>
      </c>
      <c r="G111" s="24">
        <v>0</v>
      </c>
      <c r="H111" s="24">
        <v>0</v>
      </c>
      <c r="I111" s="24">
        <v>0</v>
      </c>
      <c r="J111" s="24">
        <v>0</v>
      </c>
      <c r="K111" s="24">
        <v>0</v>
      </c>
      <c r="L111" s="24">
        <v>0</v>
      </c>
      <c r="M111" s="24">
        <v>0</v>
      </c>
      <c r="N111" s="24">
        <v>0</v>
      </c>
      <c r="O111" s="24">
        <v>0</v>
      </c>
      <c r="P111" s="24">
        <v>0</v>
      </c>
      <c r="Q111" s="24">
        <v>436.35700000000003</v>
      </c>
      <c r="R111" s="24">
        <v>0</v>
      </c>
      <c r="S111" s="24">
        <v>0</v>
      </c>
      <c r="T111" s="24">
        <v>0</v>
      </c>
      <c r="U111" s="24">
        <v>0</v>
      </c>
      <c r="V111" s="24">
        <v>0</v>
      </c>
      <c r="W111" s="24">
        <v>0</v>
      </c>
    </row>
    <row r="112" spans="1:23" ht="16.5" thickBot="1" x14ac:dyDescent="0.3">
      <c r="B112" s="25"/>
      <c r="C112" s="27" t="s">
        <v>128</v>
      </c>
      <c r="D112" s="28">
        <v>0</v>
      </c>
      <c r="E112" s="28">
        <v>0</v>
      </c>
      <c r="F112" s="28">
        <v>0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28">
        <v>0</v>
      </c>
      <c r="P112" s="28">
        <v>0</v>
      </c>
      <c r="Q112" s="28">
        <v>436.35700000000003</v>
      </c>
      <c r="R112" s="28">
        <v>0</v>
      </c>
      <c r="S112" s="28">
        <v>0</v>
      </c>
      <c r="T112" s="28">
        <v>0</v>
      </c>
      <c r="U112" s="28">
        <v>0</v>
      </c>
      <c r="V112" s="28">
        <v>0</v>
      </c>
      <c r="W112" s="28">
        <v>0</v>
      </c>
    </row>
    <row r="113" spans="1:23" ht="15.75" x14ac:dyDescent="0.25">
      <c r="A113" s="40" t="s">
        <v>60</v>
      </c>
      <c r="B113" s="36"/>
      <c r="C113" s="1" t="s">
        <v>148</v>
      </c>
      <c r="D113" s="24">
        <v>0</v>
      </c>
      <c r="E113" s="24">
        <v>0</v>
      </c>
      <c r="F113" s="24">
        <v>0</v>
      </c>
      <c r="G113" s="24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24">
        <v>0</v>
      </c>
      <c r="O113" s="24">
        <v>11.44</v>
      </c>
      <c r="P113" s="24">
        <v>96.875</v>
      </c>
      <c r="Q113" s="24">
        <v>0</v>
      </c>
      <c r="R113" s="24">
        <v>38.485999999999997</v>
      </c>
      <c r="S113" s="24">
        <v>70.004999999999995</v>
      </c>
      <c r="T113" s="24">
        <v>15.853999999999999</v>
      </c>
      <c r="U113" s="24">
        <v>7.5119999999999996</v>
      </c>
      <c r="V113" s="24">
        <v>0</v>
      </c>
      <c r="W113" s="24">
        <v>0</v>
      </c>
    </row>
    <row r="114" spans="1:23" ht="15.75" x14ac:dyDescent="0.25">
      <c r="A114" s="40" t="s">
        <v>63</v>
      </c>
      <c r="B114" s="36"/>
      <c r="C114" s="1" t="s">
        <v>149</v>
      </c>
      <c r="D114" s="30">
        <v>0</v>
      </c>
      <c r="E114" s="30">
        <v>0</v>
      </c>
      <c r="F114" s="30">
        <v>0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2.41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</row>
    <row r="115" spans="1:23" ht="15.75" x14ac:dyDescent="0.25">
      <c r="A115" s="40" t="s">
        <v>63</v>
      </c>
      <c r="B115" s="36"/>
      <c r="C115" s="1" t="s">
        <v>150</v>
      </c>
      <c r="D115" s="30">
        <v>0</v>
      </c>
      <c r="E115" s="30">
        <v>0</v>
      </c>
      <c r="F115" s="30">
        <v>0</v>
      </c>
      <c r="G115" s="30">
        <v>0</v>
      </c>
      <c r="H115" s="30">
        <v>0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1.21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</row>
    <row r="116" spans="1:23" ht="15.75" x14ac:dyDescent="0.25">
      <c r="A116" s="40" t="s">
        <v>63</v>
      </c>
      <c r="B116" s="25"/>
      <c r="C116" s="18" t="s">
        <v>151</v>
      </c>
      <c r="D116" s="30">
        <v>0</v>
      </c>
      <c r="E116" s="30">
        <v>0</v>
      </c>
      <c r="F116" s="30">
        <v>0</v>
      </c>
      <c r="G116" s="30">
        <v>0</v>
      </c>
      <c r="H116" s="30">
        <v>0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3.69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</row>
    <row r="117" spans="1:23" ht="15.75" x14ac:dyDescent="0.25">
      <c r="A117" s="40" t="s">
        <v>63</v>
      </c>
      <c r="B117" s="25"/>
      <c r="C117" s="18" t="s">
        <v>152</v>
      </c>
      <c r="D117" s="30">
        <v>0</v>
      </c>
      <c r="E117" s="30">
        <v>0</v>
      </c>
      <c r="F117" s="30">
        <v>0</v>
      </c>
      <c r="G117" s="30">
        <v>0</v>
      </c>
      <c r="H117" s="30">
        <v>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36.06</v>
      </c>
      <c r="Q117" s="30">
        <v>0</v>
      </c>
      <c r="R117" s="30">
        <v>3.34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</row>
    <row r="118" spans="1:23" ht="15.75" x14ac:dyDescent="0.25">
      <c r="A118" s="40" t="s">
        <v>63</v>
      </c>
      <c r="B118" s="25"/>
      <c r="C118" s="18" t="s">
        <v>153</v>
      </c>
      <c r="D118" s="30">
        <v>0</v>
      </c>
      <c r="E118" s="30">
        <v>0</v>
      </c>
      <c r="F118" s="30">
        <v>0</v>
      </c>
      <c r="G118" s="30">
        <v>0</v>
      </c>
      <c r="H118" s="30">
        <v>0</v>
      </c>
      <c r="I118" s="30">
        <v>0</v>
      </c>
      <c r="J118" s="30">
        <v>0</v>
      </c>
      <c r="K118" s="30">
        <v>0</v>
      </c>
      <c r="L118" s="30">
        <v>0</v>
      </c>
      <c r="M118" s="30">
        <v>0</v>
      </c>
      <c r="N118" s="30">
        <v>0</v>
      </c>
      <c r="O118" s="30">
        <v>35.04</v>
      </c>
      <c r="P118" s="30">
        <v>0</v>
      </c>
      <c r="Q118" s="30">
        <v>0</v>
      </c>
      <c r="R118" s="30">
        <v>0</v>
      </c>
      <c r="S118" s="30">
        <v>0</v>
      </c>
      <c r="T118" s="30">
        <v>0</v>
      </c>
      <c r="U118" s="30">
        <v>0</v>
      </c>
      <c r="V118" s="30">
        <v>0</v>
      </c>
      <c r="W118" s="30">
        <v>0</v>
      </c>
    </row>
    <row r="119" spans="1:23" ht="15.75" x14ac:dyDescent="0.25">
      <c r="A119" s="40" t="s">
        <v>63</v>
      </c>
      <c r="B119" s="25"/>
      <c r="C119" s="18" t="s">
        <v>154</v>
      </c>
      <c r="D119" s="30">
        <v>0</v>
      </c>
      <c r="E119" s="30">
        <v>0</v>
      </c>
      <c r="F119" s="30">
        <v>0</v>
      </c>
      <c r="G119" s="30">
        <v>0</v>
      </c>
      <c r="H119" s="30">
        <v>0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12.829999999999998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</row>
    <row r="120" spans="1:23" ht="15.75" x14ac:dyDescent="0.25">
      <c r="A120" s="40" t="s">
        <v>63</v>
      </c>
      <c r="B120" s="25"/>
      <c r="C120" s="18" t="s">
        <v>155</v>
      </c>
      <c r="D120" s="30">
        <v>0</v>
      </c>
      <c r="E120" s="30">
        <v>0</v>
      </c>
      <c r="F120" s="30">
        <v>0</v>
      </c>
      <c r="G120" s="30">
        <v>0</v>
      </c>
      <c r="H120" s="30">
        <v>0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13.009999999999998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</row>
    <row r="121" spans="1:23" ht="15.75" x14ac:dyDescent="0.25">
      <c r="A121" s="40" t="s">
        <v>63</v>
      </c>
      <c r="B121" s="25"/>
      <c r="C121" s="18" t="s">
        <v>156</v>
      </c>
      <c r="D121" s="30">
        <v>0</v>
      </c>
      <c r="E121" s="30">
        <v>0</v>
      </c>
      <c r="F121" s="30">
        <v>0</v>
      </c>
      <c r="G121" s="30">
        <v>0</v>
      </c>
      <c r="H121" s="30">
        <v>0</v>
      </c>
      <c r="I121" s="30">
        <v>0</v>
      </c>
      <c r="J121" s="30">
        <v>0</v>
      </c>
      <c r="K121" s="30">
        <v>0</v>
      </c>
      <c r="L121" s="30">
        <v>0</v>
      </c>
      <c r="M121" s="30">
        <v>0</v>
      </c>
      <c r="N121" s="30">
        <v>0</v>
      </c>
      <c r="O121" s="30">
        <v>9.06</v>
      </c>
      <c r="P121" s="30">
        <v>0</v>
      </c>
      <c r="Q121" s="30">
        <v>0</v>
      </c>
      <c r="R121" s="30">
        <v>0</v>
      </c>
      <c r="S121" s="30">
        <v>0</v>
      </c>
      <c r="T121" s="30">
        <v>0</v>
      </c>
      <c r="U121" s="30">
        <v>0</v>
      </c>
      <c r="V121" s="30">
        <v>0</v>
      </c>
      <c r="W121" s="30">
        <v>0</v>
      </c>
    </row>
    <row r="122" spans="1:23" ht="16.5" thickBot="1" x14ac:dyDescent="0.3">
      <c r="A122" s="40" t="s">
        <v>63</v>
      </c>
      <c r="B122" s="25"/>
      <c r="C122" s="18" t="s">
        <v>157</v>
      </c>
      <c r="D122" s="30">
        <v>0</v>
      </c>
      <c r="E122" s="30">
        <v>0</v>
      </c>
      <c r="F122" s="30">
        <v>0</v>
      </c>
      <c r="G122" s="30">
        <v>0</v>
      </c>
      <c r="H122" s="30">
        <v>0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  <c r="O122" s="30">
        <v>4.8099999999999996</v>
      </c>
      <c r="P122" s="30">
        <v>0</v>
      </c>
      <c r="Q122" s="30">
        <v>0</v>
      </c>
      <c r="R122" s="30">
        <v>0</v>
      </c>
      <c r="S122" s="30">
        <v>0</v>
      </c>
      <c r="T122" s="30">
        <v>0</v>
      </c>
      <c r="U122" s="30">
        <v>0</v>
      </c>
      <c r="V122" s="30">
        <v>0</v>
      </c>
      <c r="W122" s="30">
        <v>0</v>
      </c>
    </row>
    <row r="123" spans="1:23" ht="16.5" thickBot="1" x14ac:dyDescent="0.3">
      <c r="B123" s="25"/>
      <c r="C123" s="27" t="s">
        <v>158</v>
      </c>
      <c r="D123" s="32">
        <v>0</v>
      </c>
      <c r="E123" s="32">
        <v>0</v>
      </c>
      <c r="F123" s="32">
        <v>0</v>
      </c>
      <c r="G123" s="32">
        <v>0</v>
      </c>
      <c r="H123" s="32">
        <v>0</v>
      </c>
      <c r="I123" s="32">
        <v>0</v>
      </c>
      <c r="J123" s="32">
        <v>0</v>
      </c>
      <c r="K123" s="32">
        <v>0</v>
      </c>
      <c r="L123" s="32">
        <v>0</v>
      </c>
      <c r="M123" s="32">
        <v>0</v>
      </c>
      <c r="N123" s="32">
        <v>0</v>
      </c>
      <c r="O123" s="32">
        <v>69.05</v>
      </c>
      <c r="P123" s="32">
        <v>49.07</v>
      </c>
      <c r="Q123" s="32">
        <v>0</v>
      </c>
      <c r="R123" s="32">
        <v>3.34</v>
      </c>
      <c r="S123" s="32">
        <v>0</v>
      </c>
      <c r="T123" s="32">
        <v>0</v>
      </c>
      <c r="U123" s="32">
        <v>0</v>
      </c>
      <c r="V123" s="32">
        <v>0</v>
      </c>
      <c r="W123" s="32">
        <v>0</v>
      </c>
    </row>
    <row r="124" spans="1:23" ht="15.75" x14ac:dyDescent="0.25">
      <c r="A124" s="40" t="s">
        <v>64</v>
      </c>
      <c r="B124" s="36"/>
      <c r="C124" s="18" t="s">
        <v>159</v>
      </c>
      <c r="D124" s="24">
        <v>1.52</v>
      </c>
      <c r="E124" s="24">
        <v>1.74</v>
      </c>
      <c r="F124" s="24">
        <v>1.25</v>
      </c>
      <c r="G124" s="24">
        <v>1.28</v>
      </c>
      <c r="H124" s="24">
        <v>1.2800000000000002</v>
      </c>
      <c r="I124" s="24">
        <v>1.26</v>
      </c>
      <c r="J124" s="24">
        <v>1.2</v>
      </c>
      <c r="K124" s="24">
        <v>1.1299999999999999</v>
      </c>
      <c r="L124" s="24">
        <v>1.0900000000000001</v>
      </c>
      <c r="M124" s="24">
        <v>0.99</v>
      </c>
      <c r="N124" s="24">
        <v>1.25</v>
      </c>
      <c r="O124" s="24">
        <v>1.0999999999999999</v>
      </c>
      <c r="P124" s="24">
        <v>0.98</v>
      </c>
      <c r="Q124" s="24">
        <v>1.07</v>
      </c>
      <c r="R124" s="24">
        <v>0.98</v>
      </c>
      <c r="S124" s="24">
        <v>0.79</v>
      </c>
      <c r="T124" s="24">
        <v>0.7</v>
      </c>
      <c r="U124" s="24">
        <v>0.56999999999999995</v>
      </c>
      <c r="V124" s="24">
        <v>0.31</v>
      </c>
      <c r="W124" s="24">
        <v>0.25</v>
      </c>
    </row>
    <row r="125" spans="1:23" ht="15.75" x14ac:dyDescent="0.25">
      <c r="A125" s="40" t="s">
        <v>64</v>
      </c>
      <c r="B125" s="25"/>
      <c r="C125" s="18" t="s">
        <v>160</v>
      </c>
      <c r="D125" s="24">
        <v>45.756999999999998</v>
      </c>
      <c r="E125" s="24">
        <v>43.5</v>
      </c>
      <c r="F125" s="24">
        <v>42.4</v>
      </c>
      <c r="G125" s="24">
        <v>36.800000000000004</v>
      </c>
      <c r="H125" s="24">
        <v>31.200000000000003</v>
      </c>
      <c r="I125" s="24">
        <v>26.2</v>
      </c>
      <c r="J125" s="24">
        <v>23.1</v>
      </c>
      <c r="K125" s="24">
        <v>22.500000000000004</v>
      </c>
      <c r="L125" s="24">
        <v>19.700000000000003</v>
      </c>
      <c r="M125" s="24">
        <v>18.5</v>
      </c>
      <c r="N125" s="24">
        <v>18.3</v>
      </c>
      <c r="O125" s="24">
        <v>17.100000000000001</v>
      </c>
      <c r="P125" s="24">
        <v>16.5</v>
      </c>
      <c r="Q125" s="24">
        <v>16.400000000000002</v>
      </c>
      <c r="R125" s="24">
        <v>16.100000000000001</v>
      </c>
      <c r="S125" s="24">
        <v>16.600000000000001</v>
      </c>
      <c r="T125" s="24">
        <v>15.4</v>
      </c>
      <c r="U125" s="24">
        <v>15.3</v>
      </c>
      <c r="V125" s="24">
        <v>16.3</v>
      </c>
      <c r="W125" s="24">
        <v>16.2</v>
      </c>
    </row>
    <row r="126" spans="1:23" ht="16.5" thickBot="1" x14ac:dyDescent="0.3">
      <c r="A126" s="40" t="s">
        <v>64</v>
      </c>
      <c r="B126" s="25"/>
      <c r="C126" s="18" t="s">
        <v>161</v>
      </c>
      <c r="D126" s="24">
        <v>9.98</v>
      </c>
      <c r="E126" s="24">
        <v>8.16</v>
      </c>
      <c r="F126" s="24">
        <v>8.7000000000000011</v>
      </c>
      <c r="G126" s="24">
        <v>8.23</v>
      </c>
      <c r="H126" s="24">
        <v>9.7200000000000006</v>
      </c>
      <c r="I126" s="24">
        <v>9.2900000000000009</v>
      </c>
      <c r="J126" s="24">
        <v>8.8100000000000023</v>
      </c>
      <c r="K126" s="24">
        <v>9.0300000000000011</v>
      </c>
      <c r="L126" s="24">
        <v>8.3800000000000008</v>
      </c>
      <c r="M126" s="24">
        <v>7.5699999999999994</v>
      </c>
      <c r="N126" s="24">
        <v>7.18</v>
      </c>
      <c r="O126" s="24">
        <v>6.5500000000000007</v>
      </c>
      <c r="P126" s="24">
        <v>5.8100000000000005</v>
      </c>
      <c r="Q126" s="24">
        <v>5.2700000000000014</v>
      </c>
      <c r="R126" s="24">
        <v>5.0500000000000016</v>
      </c>
      <c r="S126" s="24">
        <v>4.0200000000000005</v>
      </c>
      <c r="T126" s="24">
        <v>3.4499999999999997</v>
      </c>
      <c r="U126" s="24">
        <v>2.7100000000000004</v>
      </c>
      <c r="V126" s="24">
        <v>2.3999999999999995</v>
      </c>
      <c r="W126" s="24">
        <v>1.85</v>
      </c>
    </row>
    <row r="127" spans="1:23" ht="16.5" thickBot="1" x14ac:dyDescent="0.3">
      <c r="B127" s="25"/>
      <c r="C127" s="27" t="s">
        <v>162</v>
      </c>
      <c r="D127" s="28">
        <v>57.257000000000005</v>
      </c>
      <c r="E127" s="28">
        <v>53.400000000000006</v>
      </c>
      <c r="F127" s="28">
        <v>52.35</v>
      </c>
      <c r="G127" s="28">
        <v>46.31</v>
      </c>
      <c r="H127" s="28">
        <v>42.2</v>
      </c>
      <c r="I127" s="28">
        <v>36.75</v>
      </c>
      <c r="J127" s="28">
        <v>33.11</v>
      </c>
      <c r="K127" s="28">
        <v>32.660000000000004</v>
      </c>
      <c r="L127" s="28">
        <v>29.17</v>
      </c>
      <c r="M127" s="28">
        <v>27.06</v>
      </c>
      <c r="N127" s="28">
        <v>26.73</v>
      </c>
      <c r="O127" s="28">
        <v>24.750000000000004</v>
      </c>
      <c r="P127" s="28">
        <v>23.29</v>
      </c>
      <c r="Q127" s="28">
        <v>22.740000000000002</v>
      </c>
      <c r="R127" s="28">
        <v>22.130000000000003</v>
      </c>
      <c r="S127" s="28">
        <v>21.41</v>
      </c>
      <c r="T127" s="28">
        <v>19.55</v>
      </c>
      <c r="U127" s="28">
        <v>18.580000000000002</v>
      </c>
      <c r="V127" s="28">
        <v>19.009999999999998</v>
      </c>
      <c r="W127" s="28">
        <v>18.3</v>
      </c>
    </row>
    <row r="128" spans="1:23" ht="15.75" x14ac:dyDescent="0.25">
      <c r="A128" s="40" t="s">
        <v>171</v>
      </c>
      <c r="B128" s="36"/>
      <c r="C128" s="1" t="s">
        <v>163</v>
      </c>
      <c r="D128" s="24">
        <v>0</v>
      </c>
      <c r="E128" s="24">
        <v>0</v>
      </c>
      <c r="F128" s="24">
        <v>0</v>
      </c>
      <c r="G128" s="24">
        <v>0</v>
      </c>
      <c r="H128" s="24">
        <v>0</v>
      </c>
      <c r="I128" s="24">
        <v>0</v>
      </c>
      <c r="J128" s="24">
        <v>0</v>
      </c>
      <c r="K128" s="24">
        <v>0</v>
      </c>
      <c r="L128" s="24">
        <v>0</v>
      </c>
      <c r="M128" s="24">
        <v>0</v>
      </c>
      <c r="N128" s="24">
        <v>0</v>
      </c>
      <c r="O128" s="24">
        <v>0</v>
      </c>
      <c r="P128" s="24">
        <v>30</v>
      </c>
      <c r="Q128" s="24">
        <v>0</v>
      </c>
      <c r="R128" s="24">
        <v>0</v>
      </c>
      <c r="S128" s="24">
        <v>0</v>
      </c>
      <c r="T128" s="24">
        <v>0</v>
      </c>
      <c r="U128" s="24">
        <v>0</v>
      </c>
      <c r="V128" s="24">
        <v>0</v>
      </c>
      <c r="W128" s="24">
        <v>0</v>
      </c>
    </row>
    <row r="129" spans="1:23" ht="15.75" x14ac:dyDescent="0.25">
      <c r="A129" s="40" t="s">
        <v>66</v>
      </c>
      <c r="B129" s="36"/>
      <c r="C129" s="1" t="s">
        <v>164</v>
      </c>
      <c r="D129" s="24">
        <v>0</v>
      </c>
      <c r="E129" s="24">
        <v>0</v>
      </c>
      <c r="F129" s="24">
        <v>2.8730000000000002</v>
      </c>
      <c r="G129" s="24">
        <v>0</v>
      </c>
      <c r="H129" s="24">
        <v>0</v>
      </c>
      <c r="I129" s="24">
        <v>40.639000000000003</v>
      </c>
      <c r="J129" s="24">
        <v>0</v>
      </c>
      <c r="K129" s="24">
        <v>9.8089999999999993</v>
      </c>
      <c r="L129" s="24">
        <v>167.12899999999999</v>
      </c>
      <c r="M129" s="24">
        <v>76.040000000000006</v>
      </c>
      <c r="N129" s="24">
        <v>137.44200000000001</v>
      </c>
      <c r="O129" s="24">
        <v>400</v>
      </c>
      <c r="P129" s="24">
        <v>400</v>
      </c>
      <c r="Q129" s="24">
        <v>400</v>
      </c>
      <c r="R129" s="24">
        <v>400</v>
      </c>
      <c r="S129" s="24">
        <v>400</v>
      </c>
      <c r="T129" s="24">
        <v>400</v>
      </c>
      <c r="U129" s="24">
        <v>400</v>
      </c>
      <c r="V129" s="24">
        <v>400</v>
      </c>
      <c r="W129" s="24">
        <v>363.60700000000003</v>
      </c>
    </row>
    <row r="130" spans="1:23" ht="15.75" x14ac:dyDescent="0.25">
      <c r="A130" s="40" t="s">
        <v>66</v>
      </c>
      <c r="B130" s="36"/>
      <c r="C130" s="1" t="s">
        <v>165</v>
      </c>
      <c r="D130" s="24">
        <v>400</v>
      </c>
      <c r="E130" s="24">
        <v>400</v>
      </c>
      <c r="F130" s="24">
        <v>400</v>
      </c>
      <c r="G130" s="24">
        <v>400</v>
      </c>
      <c r="H130" s="24">
        <v>400</v>
      </c>
      <c r="I130" s="24">
        <v>400</v>
      </c>
      <c r="J130" s="24">
        <v>400</v>
      </c>
      <c r="K130" s="24">
        <v>400</v>
      </c>
      <c r="L130" s="24">
        <v>400</v>
      </c>
      <c r="M130" s="24">
        <v>400</v>
      </c>
      <c r="N130" s="24">
        <v>400</v>
      </c>
      <c r="O130" s="24">
        <v>400</v>
      </c>
      <c r="P130" s="24">
        <v>400</v>
      </c>
      <c r="Q130" s="24">
        <v>400</v>
      </c>
      <c r="R130" s="24">
        <v>400</v>
      </c>
      <c r="S130" s="24">
        <v>400</v>
      </c>
      <c r="T130" s="24">
        <v>400</v>
      </c>
      <c r="U130" s="24">
        <v>400</v>
      </c>
      <c r="V130" s="24">
        <v>400</v>
      </c>
      <c r="W130" s="24">
        <v>400</v>
      </c>
    </row>
    <row r="131" spans="1:23" ht="15.75" x14ac:dyDescent="0.25">
      <c r="A131" s="40" t="s">
        <v>66</v>
      </c>
      <c r="B131" s="36"/>
      <c r="C131" s="1" t="s">
        <v>166</v>
      </c>
      <c r="D131" s="24">
        <v>0</v>
      </c>
      <c r="E131" s="24">
        <v>21.074999999999999</v>
      </c>
      <c r="F131" s="24">
        <v>375</v>
      </c>
      <c r="G131" s="24">
        <v>307.39</v>
      </c>
      <c r="H131" s="24">
        <v>299.14100000000002</v>
      </c>
      <c r="I131" s="24">
        <v>375</v>
      </c>
      <c r="J131" s="24">
        <v>344.20600000000002</v>
      </c>
      <c r="K131" s="24">
        <v>375</v>
      </c>
      <c r="L131" s="24">
        <v>375</v>
      </c>
      <c r="M131" s="24">
        <v>375</v>
      </c>
      <c r="N131" s="24">
        <v>375</v>
      </c>
      <c r="O131" s="24">
        <v>375</v>
      </c>
      <c r="P131" s="24">
        <v>375</v>
      </c>
      <c r="Q131" s="24">
        <v>375</v>
      </c>
      <c r="R131" s="24">
        <v>375</v>
      </c>
      <c r="S131" s="24">
        <v>375</v>
      </c>
      <c r="T131" s="24">
        <v>375</v>
      </c>
      <c r="U131" s="24">
        <v>375</v>
      </c>
      <c r="V131" s="24">
        <v>375</v>
      </c>
      <c r="W131" s="24">
        <v>375</v>
      </c>
    </row>
    <row r="132" spans="1:23" ht="15.75" x14ac:dyDescent="0.25">
      <c r="A132" s="40" t="s">
        <v>66</v>
      </c>
      <c r="B132" s="36"/>
      <c r="C132" s="1" t="s">
        <v>167</v>
      </c>
      <c r="D132" s="24">
        <v>100</v>
      </c>
      <c r="E132" s="24">
        <v>100</v>
      </c>
      <c r="F132" s="24">
        <v>100</v>
      </c>
      <c r="G132" s="24">
        <v>100</v>
      </c>
      <c r="H132" s="24">
        <v>100</v>
      </c>
      <c r="I132" s="24">
        <v>100</v>
      </c>
      <c r="J132" s="24">
        <v>100</v>
      </c>
      <c r="K132" s="24">
        <v>100</v>
      </c>
      <c r="L132" s="24">
        <v>100</v>
      </c>
      <c r="M132" s="24">
        <v>100</v>
      </c>
      <c r="N132" s="24">
        <v>100</v>
      </c>
      <c r="O132" s="24">
        <v>100</v>
      </c>
      <c r="P132" s="24">
        <v>100</v>
      </c>
      <c r="Q132" s="24">
        <v>100</v>
      </c>
      <c r="R132" s="24">
        <v>100</v>
      </c>
      <c r="S132" s="24">
        <v>100</v>
      </c>
      <c r="T132" s="24">
        <v>100</v>
      </c>
      <c r="U132" s="24">
        <v>100</v>
      </c>
      <c r="V132" s="24">
        <v>100</v>
      </c>
      <c r="W132" s="24">
        <v>100</v>
      </c>
    </row>
    <row r="133" spans="1:23" ht="15.75" x14ac:dyDescent="0.25">
      <c r="A133" s="40" t="s">
        <v>98</v>
      </c>
      <c r="B133" s="34"/>
      <c r="C133" s="1" t="s">
        <v>168</v>
      </c>
      <c r="D133" s="24">
        <v>281.012</v>
      </c>
      <c r="E133" s="24">
        <v>332.17</v>
      </c>
      <c r="F133" s="24">
        <v>272.65499999999997</v>
      </c>
      <c r="G133" s="24">
        <v>307.34800000000001</v>
      </c>
      <c r="H133" s="24">
        <v>0</v>
      </c>
      <c r="I133" s="24">
        <v>307.57900000000001</v>
      </c>
      <c r="J133" s="24">
        <v>0</v>
      </c>
      <c r="K133" s="24">
        <v>287.03100000000001</v>
      </c>
      <c r="L133" s="24">
        <v>294.80599999999998</v>
      </c>
      <c r="M133" s="24">
        <v>0</v>
      </c>
      <c r="N133" s="24">
        <v>0</v>
      </c>
      <c r="O133" s="24">
        <v>0</v>
      </c>
      <c r="P133" s="24">
        <v>400</v>
      </c>
      <c r="Q133" s="24">
        <v>40.570999999999998</v>
      </c>
      <c r="R133" s="24">
        <v>390.202</v>
      </c>
      <c r="S133" s="24">
        <v>350.65800000000002</v>
      </c>
      <c r="T133" s="24">
        <v>0</v>
      </c>
      <c r="U133" s="24">
        <v>377.03399999999999</v>
      </c>
      <c r="V133" s="24">
        <v>4.4119999999999999</v>
      </c>
      <c r="W133" s="24">
        <v>291.37799999999999</v>
      </c>
    </row>
    <row r="134" spans="1:23" ht="15.75" x14ac:dyDescent="0.25">
      <c r="A134" s="40" t="s">
        <v>98</v>
      </c>
      <c r="B134" s="34"/>
      <c r="C134" s="1" t="s">
        <v>169</v>
      </c>
      <c r="D134" s="24">
        <v>0</v>
      </c>
      <c r="E134" s="24">
        <v>0</v>
      </c>
      <c r="F134" s="24">
        <v>0</v>
      </c>
      <c r="G134" s="24">
        <v>0</v>
      </c>
      <c r="H134" s="24">
        <v>319.30799999999999</v>
      </c>
      <c r="I134" s="24">
        <v>0</v>
      </c>
      <c r="J134" s="24">
        <v>305.923</v>
      </c>
      <c r="K134" s="24">
        <v>0</v>
      </c>
      <c r="L134" s="24">
        <v>0</v>
      </c>
      <c r="M134" s="24">
        <v>297.07</v>
      </c>
      <c r="N134" s="24">
        <v>288.548</v>
      </c>
      <c r="O134" s="24">
        <v>312.488</v>
      </c>
      <c r="P134" s="24">
        <v>50.639000000000003</v>
      </c>
      <c r="Q134" s="24">
        <v>375</v>
      </c>
      <c r="R134" s="24">
        <v>0</v>
      </c>
      <c r="S134" s="24">
        <v>0</v>
      </c>
      <c r="T134" s="24">
        <v>336.584</v>
      </c>
      <c r="U134" s="24">
        <v>0</v>
      </c>
      <c r="V134" s="24">
        <v>375</v>
      </c>
      <c r="W134" s="24">
        <v>375</v>
      </c>
    </row>
    <row r="135" spans="1:23" ht="15.75" x14ac:dyDescent="0.25">
      <c r="A135" s="40" t="s">
        <v>98</v>
      </c>
      <c r="B135" s="38"/>
      <c r="C135" s="52" t="s">
        <v>170</v>
      </c>
      <c r="D135" s="39">
        <v>0</v>
      </c>
      <c r="E135" s="39">
        <v>0</v>
      </c>
      <c r="F135" s="39">
        <v>0</v>
      </c>
      <c r="G135" s="39">
        <v>0</v>
      </c>
      <c r="H135" s="39">
        <v>0</v>
      </c>
      <c r="I135" s="39">
        <v>0</v>
      </c>
      <c r="J135" s="39">
        <v>0</v>
      </c>
      <c r="K135" s="39">
        <v>0</v>
      </c>
      <c r="L135" s="39">
        <v>52.73</v>
      </c>
      <c r="M135" s="39">
        <v>54.026000000000003</v>
      </c>
      <c r="N135" s="39">
        <v>8.2089999999999996</v>
      </c>
      <c r="O135" s="39">
        <v>100</v>
      </c>
      <c r="P135" s="39">
        <v>100</v>
      </c>
      <c r="Q135" s="39">
        <v>100</v>
      </c>
      <c r="R135" s="39">
        <v>100</v>
      </c>
      <c r="S135" s="39">
        <v>100</v>
      </c>
      <c r="T135" s="39">
        <v>100</v>
      </c>
      <c r="U135" s="39">
        <v>100</v>
      </c>
      <c r="V135" s="39">
        <v>100</v>
      </c>
      <c r="W135" s="39">
        <v>100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T146"/>
  <sheetViews>
    <sheetView showGridLines="0" zoomScaleNormal="100" workbookViewId="0"/>
  </sheetViews>
  <sheetFormatPr defaultRowHeight="15" x14ac:dyDescent="0.25"/>
  <cols>
    <col min="1" max="1" width="22" style="40" customWidth="1"/>
    <col min="2" max="16384" width="9.140625" style="40"/>
  </cols>
  <sheetData>
    <row r="3" spans="2:2" ht="18.75" x14ac:dyDescent="0.3">
      <c r="B3" s="49" t="s">
        <v>174</v>
      </c>
    </row>
    <row r="24" spans="20:20" x14ac:dyDescent="0.25">
      <c r="T24" s="40" t="s">
        <v>217</v>
      </c>
    </row>
    <row r="56" spans="1:17" x14ac:dyDescent="0.25">
      <c r="A56" s="40" t="s">
        <v>219</v>
      </c>
    </row>
    <row r="61" spans="1:17" x14ac:dyDescent="0.25">
      <c r="Q61" s="40" t="s">
        <v>212</v>
      </c>
    </row>
    <row r="69" spans="1:17" x14ac:dyDescent="0.25">
      <c r="A69" s="40" t="s">
        <v>218</v>
      </c>
    </row>
    <row r="73" spans="1:17" x14ac:dyDescent="0.25">
      <c r="Q73" s="40" t="s">
        <v>213</v>
      </c>
    </row>
    <row r="82" spans="1:17" x14ac:dyDescent="0.25">
      <c r="A82" s="40" t="s">
        <v>220</v>
      </c>
    </row>
    <row r="86" spans="1:17" x14ac:dyDescent="0.25">
      <c r="Q86" s="40" t="s">
        <v>214</v>
      </c>
    </row>
    <row r="95" spans="1:17" x14ac:dyDescent="0.25">
      <c r="A95" s="40" t="s">
        <v>223</v>
      </c>
    </row>
    <row r="107" spans="1:1" x14ac:dyDescent="0.25">
      <c r="A107" s="40" t="s">
        <v>221</v>
      </c>
    </row>
    <row r="120" spans="1:17" x14ac:dyDescent="0.25">
      <c r="A120" s="40" t="s">
        <v>222</v>
      </c>
    </row>
    <row r="126" spans="1:17" x14ac:dyDescent="0.25">
      <c r="Q126" s="40" t="s">
        <v>216</v>
      </c>
    </row>
    <row r="133" spans="1:17" x14ac:dyDescent="0.25">
      <c r="A133" s="40" t="s">
        <v>224</v>
      </c>
    </row>
    <row r="139" spans="1:17" x14ac:dyDescent="0.25">
      <c r="Q139" s="40" t="s">
        <v>215</v>
      </c>
    </row>
    <row r="146" spans="1:1" x14ac:dyDescent="0.25">
      <c r="A146" s="40" t="s">
        <v>225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AM24"/>
  <sheetViews>
    <sheetView zoomScaleNormal="100" workbookViewId="0"/>
  </sheetViews>
  <sheetFormatPr defaultRowHeight="15" x14ac:dyDescent="0.25"/>
  <cols>
    <col min="1" max="1" width="14.85546875" style="40" customWidth="1"/>
    <col min="2" max="4" width="14.5703125" style="40" customWidth="1"/>
    <col min="5" max="6" width="9.140625" style="40"/>
    <col min="7" max="9" width="14.5703125" style="40" customWidth="1"/>
    <col min="10" max="11" width="9.140625" style="40"/>
    <col min="12" max="14" width="14.5703125" style="40" customWidth="1"/>
    <col min="15" max="16" width="9.140625" style="40"/>
    <col min="17" max="19" width="14.5703125" style="40" customWidth="1"/>
    <col min="20" max="21" width="9.140625" style="40"/>
    <col min="22" max="24" width="14.5703125" style="40" customWidth="1"/>
    <col min="25" max="26" width="9.140625" style="40"/>
    <col min="27" max="29" width="14.5703125" style="40" customWidth="1"/>
    <col min="30" max="31" width="9.140625" style="40"/>
    <col min="32" max="34" width="14.5703125" style="40" customWidth="1"/>
    <col min="35" max="36" width="9.140625" style="40"/>
    <col min="37" max="39" width="14.5703125" style="40" customWidth="1"/>
    <col min="40" max="16384" width="9.140625" style="40"/>
  </cols>
  <sheetData>
    <row r="2" spans="1:39" ht="23.25" x14ac:dyDescent="0.25">
      <c r="B2" s="57" t="s">
        <v>186</v>
      </c>
      <c r="C2" s="57" t="s">
        <v>186</v>
      </c>
      <c r="D2" s="57" t="s">
        <v>186</v>
      </c>
      <c r="G2" s="57" t="s">
        <v>186</v>
      </c>
      <c r="H2" s="57" t="s">
        <v>186</v>
      </c>
      <c r="I2" s="57" t="s">
        <v>186</v>
      </c>
      <c r="L2" s="57" t="s">
        <v>186</v>
      </c>
      <c r="M2" s="57" t="s">
        <v>186</v>
      </c>
      <c r="N2" s="57" t="s">
        <v>186</v>
      </c>
    </row>
    <row r="3" spans="1:39" x14ac:dyDescent="0.25">
      <c r="B3" s="58" t="s">
        <v>187</v>
      </c>
      <c r="C3" s="58" t="s">
        <v>187</v>
      </c>
      <c r="D3" s="58" t="s">
        <v>187</v>
      </c>
      <c r="G3" s="58" t="s">
        <v>191</v>
      </c>
      <c r="H3" s="58" t="s">
        <v>191</v>
      </c>
      <c r="I3" s="58" t="s">
        <v>191</v>
      </c>
      <c r="L3" s="58" t="s">
        <v>192</v>
      </c>
      <c r="M3" s="58" t="s">
        <v>192</v>
      </c>
      <c r="N3" s="58" t="s">
        <v>192</v>
      </c>
    </row>
    <row r="4" spans="1:39" x14ac:dyDescent="0.25">
      <c r="B4" s="47" t="s">
        <v>188</v>
      </c>
      <c r="C4" s="47" t="s">
        <v>189</v>
      </c>
      <c r="D4" s="47" t="s">
        <v>190</v>
      </c>
      <c r="G4" s="47" t="s">
        <v>188</v>
      </c>
      <c r="H4" s="47" t="s">
        <v>189</v>
      </c>
      <c r="I4" s="47" t="s">
        <v>190</v>
      </c>
      <c r="L4" s="47" t="s">
        <v>188</v>
      </c>
      <c r="M4" s="47" t="s">
        <v>189</v>
      </c>
      <c r="N4" s="47" t="s">
        <v>190</v>
      </c>
    </row>
    <row r="5" spans="1:39" x14ac:dyDescent="0.25">
      <c r="A5" s="40">
        <v>2037</v>
      </c>
      <c r="B5" s="47">
        <v>426.37</v>
      </c>
      <c r="C5" s="47">
        <v>3303.09</v>
      </c>
      <c r="D5" s="59">
        <f>C5/(B5*8760)*1000</f>
        <v>0.8843611616510324</v>
      </c>
      <c r="F5" s="40">
        <v>2037</v>
      </c>
      <c r="G5" s="47">
        <v>63</v>
      </c>
      <c r="H5" s="47">
        <v>166.56</v>
      </c>
      <c r="I5" s="59">
        <f>H5/(G5*8760)*1000</f>
        <v>0.30180474016090453</v>
      </c>
      <c r="K5" s="40">
        <v>2037</v>
      </c>
      <c r="L5" s="47">
        <f>B5+G5</f>
        <v>489.37</v>
      </c>
      <c r="M5" s="47">
        <f>C5+H5</f>
        <v>3469.65</v>
      </c>
      <c r="N5" s="59">
        <f>M5/(L5*8760)*1000</f>
        <v>0.80936462619957827</v>
      </c>
    </row>
    <row r="6" spans="1:39" x14ac:dyDescent="0.25">
      <c r="A6" s="40">
        <v>2038</v>
      </c>
      <c r="B6" s="47">
        <v>426.37</v>
      </c>
      <c r="C6" s="47">
        <v>3226.06</v>
      </c>
      <c r="D6" s="59">
        <f>C6/(B6*8760)*1000</f>
        <v>0.86373733962923482</v>
      </c>
      <c r="F6" s="40">
        <v>2038</v>
      </c>
      <c r="G6" s="47">
        <v>63</v>
      </c>
      <c r="H6" s="47">
        <v>176.35</v>
      </c>
      <c r="I6" s="59">
        <f>H6/(G6*8760)*1000</f>
        <v>0.3195441037906791</v>
      </c>
      <c r="K6" s="40">
        <v>2038</v>
      </c>
      <c r="L6" s="47">
        <f>B6+G6</f>
        <v>489.37</v>
      </c>
      <c r="M6" s="47">
        <f>C6+H6</f>
        <v>3402.41</v>
      </c>
      <c r="N6" s="59">
        <f>M6/(L6*8760)*1000</f>
        <v>0.79367956359509084</v>
      </c>
    </row>
    <row r="9" spans="1:39" x14ac:dyDescent="0.25">
      <c r="B9" s="57" t="s">
        <v>193</v>
      </c>
      <c r="C9" s="57" t="s">
        <v>193</v>
      </c>
      <c r="D9" s="57" t="s">
        <v>193</v>
      </c>
      <c r="G9" s="57" t="s">
        <v>193</v>
      </c>
      <c r="H9" s="57" t="s">
        <v>193</v>
      </c>
      <c r="I9" s="57" t="s">
        <v>193</v>
      </c>
      <c r="L9" s="57" t="s">
        <v>193</v>
      </c>
      <c r="M9" s="57" t="s">
        <v>193</v>
      </c>
      <c r="N9" s="57" t="s">
        <v>193</v>
      </c>
      <c r="Q9" s="57" t="s">
        <v>193</v>
      </c>
      <c r="R9" s="57" t="s">
        <v>193</v>
      </c>
      <c r="S9" s="57" t="s">
        <v>193</v>
      </c>
      <c r="V9" s="57" t="s">
        <v>200</v>
      </c>
      <c r="W9" s="57" t="s">
        <v>200</v>
      </c>
      <c r="X9" s="57" t="s">
        <v>200</v>
      </c>
      <c r="AA9" s="57" t="s">
        <v>199</v>
      </c>
      <c r="AB9" s="57" t="s">
        <v>199</v>
      </c>
      <c r="AC9" s="57" t="s">
        <v>199</v>
      </c>
      <c r="AF9" s="57" t="s">
        <v>199</v>
      </c>
      <c r="AG9" s="57" t="s">
        <v>199</v>
      </c>
      <c r="AH9" s="57" t="s">
        <v>199</v>
      </c>
      <c r="AK9" s="57" t="s">
        <v>202</v>
      </c>
      <c r="AL9" s="57" t="s">
        <v>202</v>
      </c>
      <c r="AM9" s="57" t="s">
        <v>202</v>
      </c>
    </row>
    <row r="10" spans="1:39" x14ac:dyDescent="0.25">
      <c r="B10" s="58" t="s">
        <v>194</v>
      </c>
      <c r="C10" s="58" t="s">
        <v>194</v>
      </c>
      <c r="D10" s="58" t="s">
        <v>194</v>
      </c>
      <c r="G10" s="58" t="s">
        <v>195</v>
      </c>
      <c r="H10" s="58" t="s">
        <v>195</v>
      </c>
      <c r="I10" s="58" t="s">
        <v>195</v>
      </c>
      <c r="L10" s="58" t="s">
        <v>196</v>
      </c>
      <c r="M10" s="58" t="s">
        <v>196</v>
      </c>
      <c r="N10" s="58" t="s">
        <v>196</v>
      </c>
      <c r="Q10" s="58" t="s">
        <v>196</v>
      </c>
      <c r="R10" s="58" t="s">
        <v>196</v>
      </c>
      <c r="S10" s="58" t="s">
        <v>196</v>
      </c>
      <c r="V10" s="58" t="s">
        <v>197</v>
      </c>
      <c r="W10" s="58" t="s">
        <v>197</v>
      </c>
      <c r="X10" s="58" t="s">
        <v>197</v>
      </c>
      <c r="AA10" s="58" t="s">
        <v>198</v>
      </c>
      <c r="AB10" s="58" t="s">
        <v>198</v>
      </c>
      <c r="AC10" s="58" t="s">
        <v>198</v>
      </c>
      <c r="AF10" s="58" t="s">
        <v>201</v>
      </c>
      <c r="AG10" s="58" t="s">
        <v>201</v>
      </c>
      <c r="AH10" s="58" t="s">
        <v>201</v>
      </c>
      <c r="AK10" s="57" t="s">
        <v>202</v>
      </c>
      <c r="AL10" s="57" t="s">
        <v>202</v>
      </c>
      <c r="AM10" s="57" t="s">
        <v>202</v>
      </c>
    </row>
    <row r="11" spans="1:39" x14ac:dyDescent="0.25">
      <c r="B11" s="47" t="s">
        <v>188</v>
      </c>
      <c r="C11" s="47" t="s">
        <v>189</v>
      </c>
      <c r="D11" s="47" t="s">
        <v>190</v>
      </c>
      <c r="G11" s="47" t="s">
        <v>188</v>
      </c>
      <c r="H11" s="47" t="s">
        <v>189</v>
      </c>
      <c r="I11" s="47" t="s">
        <v>190</v>
      </c>
      <c r="L11" s="47" t="s">
        <v>188</v>
      </c>
      <c r="M11" s="47" t="s">
        <v>189</v>
      </c>
      <c r="N11" s="47" t="s">
        <v>190</v>
      </c>
      <c r="Q11" s="47" t="s">
        <v>188</v>
      </c>
      <c r="R11" s="47" t="s">
        <v>189</v>
      </c>
      <c r="S11" s="47" t="s">
        <v>190</v>
      </c>
      <c r="V11" s="47" t="s">
        <v>188</v>
      </c>
      <c r="W11" s="47" t="s">
        <v>189</v>
      </c>
      <c r="X11" s="47" t="s">
        <v>190</v>
      </c>
      <c r="AA11" s="47" t="s">
        <v>188</v>
      </c>
      <c r="AB11" s="47" t="s">
        <v>189</v>
      </c>
      <c r="AC11" s="47" t="s">
        <v>190</v>
      </c>
      <c r="AF11" s="47" t="s">
        <v>188</v>
      </c>
      <c r="AG11" s="47" t="s">
        <v>189</v>
      </c>
      <c r="AH11" s="47" t="s">
        <v>190</v>
      </c>
      <c r="AK11" s="47" t="s">
        <v>188</v>
      </c>
      <c r="AL11" s="47" t="s">
        <v>189</v>
      </c>
      <c r="AM11" s="47" t="s">
        <v>190</v>
      </c>
    </row>
    <row r="12" spans="1:39" x14ac:dyDescent="0.25">
      <c r="A12" s="40">
        <v>2026</v>
      </c>
      <c r="B12" s="47">
        <v>179.24</v>
      </c>
      <c r="C12" s="47">
        <v>151.61000000000001</v>
      </c>
      <c r="D12" s="59">
        <f>C12/(B12*8760)*1000</f>
        <v>9.6558121097806163E-2</v>
      </c>
      <c r="AJ12" s="40">
        <v>2026</v>
      </c>
      <c r="AK12" s="47">
        <f>B12+G12+L12+Q12+V12+AA12+AF12</f>
        <v>179.24</v>
      </c>
      <c r="AL12" s="47">
        <f t="shared" ref="AL12:AL24" si="0">C12+H12+M12+R12+W12+AB12+AG12</f>
        <v>151.61000000000001</v>
      </c>
      <c r="AM12" s="59">
        <f t="shared" ref="AM12:AM22" si="1">AL12/(AK12*8760)*1000</f>
        <v>9.6558121097806163E-2</v>
      </c>
    </row>
    <row r="13" spans="1:39" x14ac:dyDescent="0.25">
      <c r="A13" s="40">
        <f>A12+1</f>
        <v>2027</v>
      </c>
      <c r="B13" s="47">
        <v>179.24</v>
      </c>
      <c r="C13" s="47">
        <v>137.97999999999999</v>
      </c>
      <c r="D13" s="59">
        <f>C13/(B13*8760)*1000</f>
        <v>8.787737978415204E-2</v>
      </c>
      <c r="AJ13" s="40">
        <f>AJ12+1</f>
        <v>2027</v>
      </c>
      <c r="AK13" s="47">
        <f t="shared" ref="AK13:AK24" si="2">B13+G13+L13+Q13+V13+AA13+AF13</f>
        <v>179.24</v>
      </c>
      <c r="AL13" s="47">
        <f t="shared" si="0"/>
        <v>137.97999999999999</v>
      </c>
      <c r="AM13" s="59">
        <f t="shared" si="1"/>
        <v>8.787737978415204E-2</v>
      </c>
    </row>
    <row r="14" spans="1:39" x14ac:dyDescent="0.25">
      <c r="A14" s="40">
        <f t="shared" ref="A14:A24" si="3">A13+1</f>
        <v>2028</v>
      </c>
      <c r="B14" s="47">
        <v>179.24</v>
      </c>
      <c r="C14" s="47">
        <v>308.37</v>
      </c>
      <c r="D14" s="59">
        <f t="shared" ref="D14:D24" si="4">C14/(B14*8760)*1000</f>
        <v>0.19639619947846768</v>
      </c>
      <c r="AJ14" s="40">
        <f t="shared" ref="AJ14:AJ24" si="5">AJ13+1</f>
        <v>2028</v>
      </c>
      <c r="AK14" s="47">
        <f t="shared" si="2"/>
        <v>179.24</v>
      </c>
      <c r="AL14" s="47">
        <f t="shared" si="0"/>
        <v>308.37</v>
      </c>
      <c r="AM14" s="59">
        <f t="shared" si="1"/>
        <v>0.19639619947846768</v>
      </c>
    </row>
    <row r="15" spans="1:39" x14ac:dyDescent="0.25">
      <c r="A15" s="40">
        <f t="shared" si="3"/>
        <v>2029</v>
      </c>
      <c r="B15" s="47">
        <v>179.24</v>
      </c>
      <c r="C15" s="47">
        <v>330.99</v>
      </c>
      <c r="D15" s="59">
        <f t="shared" si="4"/>
        <v>0.21080253612665958</v>
      </c>
      <c r="AJ15" s="40">
        <f t="shared" si="5"/>
        <v>2029</v>
      </c>
      <c r="AK15" s="47">
        <f t="shared" si="2"/>
        <v>179.24</v>
      </c>
      <c r="AL15" s="47">
        <f t="shared" si="0"/>
        <v>330.99</v>
      </c>
      <c r="AM15" s="59">
        <f t="shared" si="1"/>
        <v>0.21080253612665958</v>
      </c>
    </row>
    <row r="16" spans="1:39" x14ac:dyDescent="0.25">
      <c r="A16" s="40">
        <f t="shared" si="3"/>
        <v>2030</v>
      </c>
      <c r="B16" s="47">
        <v>179.24</v>
      </c>
      <c r="C16" s="47">
        <v>308.72000000000003</v>
      </c>
      <c r="D16" s="59">
        <f t="shared" si="4"/>
        <v>0.19661910919671999</v>
      </c>
      <c r="F16" s="40">
        <v>2030</v>
      </c>
      <c r="G16" s="47">
        <v>179.24</v>
      </c>
      <c r="H16" s="47">
        <v>252.32</v>
      </c>
      <c r="I16" s="59">
        <f t="shared" ref="I16:I24" si="6">H16/(G16*8760)*1000</f>
        <v>0.16069880031263403</v>
      </c>
      <c r="K16" s="40">
        <v>2030</v>
      </c>
      <c r="L16" s="47">
        <v>179.24</v>
      </c>
      <c r="M16" s="47">
        <v>213.48</v>
      </c>
      <c r="N16" s="59">
        <f t="shared" ref="N16:N24" si="7">M16/(L16*8760)*1000</f>
        <v>0.13596219043572097</v>
      </c>
      <c r="Q16" s="47"/>
      <c r="R16" s="47"/>
      <c r="S16" s="59"/>
      <c r="V16" s="47"/>
      <c r="W16" s="47"/>
      <c r="X16" s="59"/>
      <c r="AA16" s="47"/>
      <c r="AB16" s="47"/>
      <c r="AC16" s="59"/>
      <c r="AF16" s="47"/>
      <c r="AG16" s="47"/>
      <c r="AH16" s="59"/>
      <c r="AJ16" s="40">
        <f t="shared" si="5"/>
        <v>2030</v>
      </c>
      <c r="AK16" s="47">
        <f t="shared" si="2"/>
        <v>537.72</v>
      </c>
      <c r="AL16" s="47">
        <f t="shared" si="0"/>
        <v>774.52</v>
      </c>
      <c r="AM16" s="59">
        <f t="shared" si="1"/>
        <v>0.16442669998169168</v>
      </c>
    </row>
    <row r="17" spans="1:39" x14ac:dyDescent="0.25">
      <c r="A17" s="40">
        <f t="shared" si="3"/>
        <v>2031</v>
      </c>
      <c r="B17" s="47">
        <v>179.24</v>
      </c>
      <c r="C17" s="47">
        <v>300.45</v>
      </c>
      <c r="D17" s="59">
        <f t="shared" si="4"/>
        <v>0.19135207099687263</v>
      </c>
      <c r="F17" s="40">
        <f t="shared" ref="F17:F24" si="8">F16+1</f>
        <v>2031</v>
      </c>
      <c r="G17" s="47">
        <v>179.24</v>
      </c>
      <c r="H17" s="47">
        <v>250.82</v>
      </c>
      <c r="I17" s="59">
        <f t="shared" si="6"/>
        <v>0.15974347294869559</v>
      </c>
      <c r="K17" s="40">
        <f t="shared" ref="K17:K24" si="9">K16+1</f>
        <v>2031</v>
      </c>
      <c r="L17" s="47">
        <v>179.24</v>
      </c>
      <c r="M17" s="47">
        <v>208.18</v>
      </c>
      <c r="N17" s="59">
        <f t="shared" si="7"/>
        <v>0.13258670041647178</v>
      </c>
      <c r="Q17" s="47"/>
      <c r="R17" s="47"/>
      <c r="S17" s="59"/>
      <c r="V17" s="47"/>
      <c r="W17" s="47"/>
      <c r="X17" s="59"/>
      <c r="AA17" s="47"/>
      <c r="AB17" s="47"/>
      <c r="AC17" s="59"/>
      <c r="AF17" s="47"/>
      <c r="AG17" s="47"/>
      <c r="AH17" s="59"/>
      <c r="AJ17" s="40">
        <f t="shared" si="5"/>
        <v>2031</v>
      </c>
      <c r="AK17" s="47">
        <f t="shared" si="2"/>
        <v>537.72</v>
      </c>
      <c r="AL17" s="47">
        <f t="shared" si="0"/>
        <v>759.45</v>
      </c>
      <c r="AM17" s="59">
        <f t="shared" si="1"/>
        <v>0.16122741478734667</v>
      </c>
    </row>
    <row r="18" spans="1:39" x14ac:dyDescent="0.25">
      <c r="A18" s="40">
        <f t="shared" si="3"/>
        <v>2032</v>
      </c>
      <c r="B18" s="47">
        <v>179.24</v>
      </c>
      <c r="C18" s="47">
        <v>294.66000000000003</v>
      </c>
      <c r="D18" s="59">
        <f t="shared" si="4"/>
        <v>0.18766450737207022</v>
      </c>
      <c r="F18" s="40">
        <f t="shared" si="8"/>
        <v>2032</v>
      </c>
      <c r="G18" s="47">
        <v>179.24</v>
      </c>
      <c r="H18" s="47">
        <v>243.35</v>
      </c>
      <c r="I18" s="59">
        <f t="shared" si="6"/>
        <v>0.1549859426762821</v>
      </c>
      <c r="K18" s="40">
        <f t="shared" si="9"/>
        <v>2032</v>
      </c>
      <c r="L18" s="47">
        <v>179.24</v>
      </c>
      <c r="M18" s="47">
        <v>204.42</v>
      </c>
      <c r="N18" s="59">
        <f t="shared" si="7"/>
        <v>0.1301920131575327</v>
      </c>
      <c r="Q18" s="47"/>
      <c r="R18" s="47"/>
      <c r="S18" s="59"/>
      <c r="V18" s="47"/>
      <c r="W18" s="47"/>
      <c r="X18" s="59"/>
      <c r="AA18" s="47"/>
      <c r="AB18" s="47"/>
      <c r="AC18" s="59"/>
      <c r="AF18" s="47"/>
      <c r="AG18" s="47"/>
      <c r="AH18" s="59"/>
      <c r="AJ18" s="40">
        <f t="shared" si="5"/>
        <v>2032</v>
      </c>
      <c r="AK18" s="47">
        <f t="shared" si="2"/>
        <v>537.72</v>
      </c>
      <c r="AL18" s="47">
        <f t="shared" si="0"/>
        <v>742.43</v>
      </c>
      <c r="AM18" s="59">
        <f t="shared" si="1"/>
        <v>0.15761415440196166</v>
      </c>
    </row>
    <row r="19" spans="1:39" x14ac:dyDescent="0.25">
      <c r="A19" s="40">
        <f t="shared" si="3"/>
        <v>2033</v>
      </c>
      <c r="B19" s="47">
        <v>179.24</v>
      </c>
      <c r="C19" s="47">
        <v>325.37</v>
      </c>
      <c r="D19" s="59">
        <f t="shared" si="4"/>
        <v>0.20722324293643685</v>
      </c>
      <c r="F19" s="40">
        <f t="shared" si="8"/>
        <v>2033</v>
      </c>
      <c r="G19" s="47">
        <v>179.24</v>
      </c>
      <c r="H19" s="47">
        <v>274.67</v>
      </c>
      <c r="I19" s="59">
        <f t="shared" si="6"/>
        <v>0.17493317803531705</v>
      </c>
      <c r="K19" s="40">
        <f t="shared" si="9"/>
        <v>2033</v>
      </c>
      <c r="L19" s="47">
        <v>179.24</v>
      </c>
      <c r="M19" s="47">
        <v>233.4</v>
      </c>
      <c r="N19" s="59">
        <f t="shared" si="7"/>
        <v>0.14864893782882366</v>
      </c>
      <c r="Q19" s="47"/>
      <c r="R19" s="47"/>
      <c r="S19" s="59"/>
      <c r="V19" s="47"/>
      <c r="W19" s="47"/>
      <c r="X19" s="59"/>
      <c r="AA19" s="47"/>
      <c r="AB19" s="47"/>
      <c r="AC19" s="59"/>
      <c r="AF19" s="47"/>
      <c r="AG19" s="47"/>
      <c r="AH19" s="59"/>
      <c r="AJ19" s="40">
        <f t="shared" si="5"/>
        <v>2033</v>
      </c>
      <c r="AK19" s="47">
        <f t="shared" si="2"/>
        <v>537.72</v>
      </c>
      <c r="AL19" s="47">
        <f t="shared" si="0"/>
        <v>833.43999999999994</v>
      </c>
      <c r="AM19" s="59">
        <f t="shared" si="1"/>
        <v>0.17693511960019251</v>
      </c>
    </row>
    <row r="20" spans="1:39" x14ac:dyDescent="0.25">
      <c r="A20" s="40">
        <f t="shared" si="3"/>
        <v>2034</v>
      </c>
      <c r="B20" s="47">
        <v>179.24</v>
      </c>
      <c r="C20" s="47">
        <v>339.9</v>
      </c>
      <c r="D20" s="59">
        <f t="shared" si="4"/>
        <v>0.21647718066845398</v>
      </c>
      <c r="F20" s="40">
        <f t="shared" si="8"/>
        <v>2034</v>
      </c>
      <c r="G20" s="47">
        <v>179.24</v>
      </c>
      <c r="H20" s="47">
        <v>287.14</v>
      </c>
      <c r="I20" s="59">
        <f t="shared" si="6"/>
        <v>0.18287513285419205</v>
      </c>
      <c r="K20" s="40">
        <f t="shared" si="9"/>
        <v>2034</v>
      </c>
      <c r="L20" s="47">
        <v>179.24</v>
      </c>
      <c r="M20" s="47">
        <v>242.89</v>
      </c>
      <c r="N20" s="59">
        <f t="shared" si="7"/>
        <v>0.1546929756180076</v>
      </c>
      <c r="Q20" s="47"/>
      <c r="R20" s="47"/>
      <c r="S20" s="59"/>
      <c r="V20" s="47"/>
      <c r="W20" s="47"/>
      <c r="X20" s="59"/>
      <c r="AA20" s="47"/>
      <c r="AB20" s="47"/>
      <c r="AC20" s="59"/>
      <c r="AF20" s="47"/>
      <c r="AG20" s="47"/>
      <c r="AH20" s="59"/>
      <c r="AJ20" s="40">
        <f t="shared" si="5"/>
        <v>2034</v>
      </c>
      <c r="AK20" s="47">
        <f t="shared" si="2"/>
        <v>537.72</v>
      </c>
      <c r="AL20" s="47">
        <f t="shared" si="0"/>
        <v>869.93</v>
      </c>
      <c r="AM20" s="59">
        <f t="shared" si="1"/>
        <v>0.18468176304688455</v>
      </c>
    </row>
    <row r="21" spans="1:39" x14ac:dyDescent="0.25">
      <c r="A21" s="40">
        <f t="shared" si="3"/>
        <v>2035</v>
      </c>
      <c r="B21" s="47">
        <v>179.24</v>
      </c>
      <c r="C21" s="47">
        <v>336.56</v>
      </c>
      <c r="D21" s="59">
        <f t="shared" si="4"/>
        <v>0.2143499850714177</v>
      </c>
      <c r="F21" s="40">
        <f t="shared" si="8"/>
        <v>2035</v>
      </c>
      <c r="G21" s="47">
        <v>179.24</v>
      </c>
      <c r="H21" s="47">
        <v>280.45999999999998</v>
      </c>
      <c r="I21" s="59">
        <f t="shared" si="6"/>
        <v>0.17862074166011946</v>
      </c>
      <c r="K21" s="40">
        <f t="shared" si="9"/>
        <v>2035</v>
      </c>
      <c r="L21" s="47">
        <v>179.24</v>
      </c>
      <c r="M21" s="47">
        <v>239.25</v>
      </c>
      <c r="N21" s="59">
        <f t="shared" si="7"/>
        <v>0.15237471454818363</v>
      </c>
      <c r="Q21" s="47"/>
      <c r="R21" s="47"/>
      <c r="S21" s="59"/>
      <c r="V21" s="47"/>
      <c r="W21" s="47"/>
      <c r="X21" s="59"/>
      <c r="AA21" s="47"/>
      <c r="AB21" s="47"/>
      <c r="AC21" s="59"/>
      <c r="AF21" s="47"/>
      <c r="AG21" s="47"/>
      <c r="AH21" s="59"/>
      <c r="AJ21" s="40">
        <f t="shared" si="5"/>
        <v>2035</v>
      </c>
      <c r="AK21" s="47">
        <f t="shared" si="2"/>
        <v>537.72</v>
      </c>
      <c r="AL21" s="47">
        <f t="shared" si="0"/>
        <v>856.27</v>
      </c>
      <c r="AM21" s="59">
        <f t="shared" si="1"/>
        <v>0.18178181375990696</v>
      </c>
    </row>
    <row r="22" spans="1:39" x14ac:dyDescent="0.25">
      <c r="A22" s="40">
        <f t="shared" si="3"/>
        <v>2036</v>
      </c>
      <c r="B22" s="47">
        <v>179.24</v>
      </c>
      <c r="C22" s="47">
        <v>408.89</v>
      </c>
      <c r="D22" s="59">
        <f t="shared" si="4"/>
        <v>0.26041587056053001</v>
      </c>
      <c r="F22" s="40">
        <f t="shared" si="8"/>
        <v>2036</v>
      </c>
      <c r="G22" s="47">
        <v>179.24</v>
      </c>
      <c r="H22" s="47">
        <v>351.1</v>
      </c>
      <c r="I22" s="59">
        <f t="shared" si="6"/>
        <v>0.22361029165252783</v>
      </c>
      <c r="K22" s="40">
        <f t="shared" si="9"/>
        <v>2036</v>
      </c>
      <c r="L22" s="47">
        <v>179.24</v>
      </c>
      <c r="M22" s="47">
        <v>302.42</v>
      </c>
      <c r="N22" s="59">
        <f t="shared" si="7"/>
        <v>0.19260673426817845</v>
      </c>
      <c r="Q22" s="47"/>
      <c r="R22" s="47"/>
      <c r="S22" s="59"/>
      <c r="V22" s="47"/>
      <c r="W22" s="47"/>
      <c r="X22" s="59"/>
      <c r="AA22" s="47"/>
      <c r="AB22" s="47"/>
      <c r="AC22" s="59"/>
      <c r="AF22" s="47"/>
      <c r="AG22" s="47"/>
      <c r="AH22" s="59"/>
      <c r="AJ22" s="40">
        <f t="shared" si="5"/>
        <v>2036</v>
      </c>
      <c r="AK22" s="47">
        <f t="shared" si="2"/>
        <v>537.72</v>
      </c>
      <c r="AL22" s="47">
        <f t="shared" si="0"/>
        <v>1062.4100000000001</v>
      </c>
      <c r="AM22" s="59">
        <f t="shared" si="1"/>
        <v>0.2255442988270788</v>
      </c>
    </row>
    <row r="23" spans="1:39" x14ac:dyDescent="0.25">
      <c r="A23" s="40">
        <f t="shared" si="3"/>
        <v>2037</v>
      </c>
      <c r="B23" s="47">
        <v>179.24</v>
      </c>
      <c r="C23" s="47">
        <v>343.95</v>
      </c>
      <c r="D23" s="59">
        <f t="shared" si="4"/>
        <v>0.21905656455108782</v>
      </c>
      <c r="F23" s="40">
        <f t="shared" si="8"/>
        <v>2037</v>
      </c>
      <c r="G23" s="47">
        <v>179.24</v>
      </c>
      <c r="H23" s="47">
        <v>291.74</v>
      </c>
      <c r="I23" s="59">
        <f t="shared" si="6"/>
        <v>0.18580480343693667</v>
      </c>
      <c r="K23" s="40">
        <f t="shared" si="9"/>
        <v>2037</v>
      </c>
      <c r="L23" s="47">
        <v>179.24</v>
      </c>
      <c r="M23" s="47">
        <v>251.46</v>
      </c>
      <c r="N23" s="59">
        <f t="shared" si="7"/>
        <v>0.16015107929064265</v>
      </c>
      <c r="P23" s="40">
        <v>2037</v>
      </c>
      <c r="Q23" s="47">
        <v>179.24</v>
      </c>
      <c r="R23" s="47">
        <v>477.17</v>
      </c>
      <c r="S23" s="59">
        <f t="shared" ref="S23:S24" si="10">R23/(Q23*8760)*1000</f>
        <v>0.30390237216700849</v>
      </c>
      <c r="U23" s="40">
        <v>2037</v>
      </c>
      <c r="V23" s="47">
        <v>179.24</v>
      </c>
      <c r="W23" s="47">
        <v>424.83</v>
      </c>
      <c r="X23" s="59">
        <f t="shared" ref="X23:X24" si="11">W23/(V23*8760)*1000</f>
        <v>0.27056781601464935</v>
      </c>
      <c r="Z23" s="40">
        <v>2037</v>
      </c>
      <c r="AA23" s="47">
        <v>214.6</v>
      </c>
      <c r="AB23" s="47">
        <v>427.93</v>
      </c>
      <c r="AC23" s="59">
        <f t="shared" ref="AC23:AC24" si="12">AB23/(AA23*8760)*1000</f>
        <v>0.22763493299629342</v>
      </c>
      <c r="AE23" s="40">
        <v>2037</v>
      </c>
      <c r="AF23" s="47">
        <v>214.6</v>
      </c>
      <c r="AG23" s="47">
        <v>337.43</v>
      </c>
      <c r="AH23" s="59">
        <f t="shared" ref="AH23:AH24" si="13">AG23/(AF23*8760)*1000</f>
        <v>0.1794939720069621</v>
      </c>
      <c r="AJ23" s="40">
        <f t="shared" si="5"/>
        <v>2037</v>
      </c>
      <c r="AK23" s="47">
        <f t="shared" si="2"/>
        <v>1325.3999999999999</v>
      </c>
      <c r="AL23" s="47">
        <f t="shared" si="0"/>
        <v>2554.5099999999998</v>
      </c>
      <c r="AM23" s="59">
        <f t="shared" ref="AM23:AM24" si="14">AL23/(AK23*8760)*1000</f>
        <v>0.22001714998763192</v>
      </c>
    </row>
    <row r="24" spans="1:39" x14ac:dyDescent="0.25">
      <c r="A24" s="40">
        <f t="shared" si="3"/>
        <v>2038</v>
      </c>
      <c r="B24" s="47">
        <v>179.24</v>
      </c>
      <c r="C24" s="47">
        <v>357.21</v>
      </c>
      <c r="D24" s="59">
        <f t="shared" si="4"/>
        <v>0.22750165844830375</v>
      </c>
      <c r="F24" s="40">
        <f t="shared" si="8"/>
        <v>2038</v>
      </c>
      <c r="G24" s="47">
        <v>179.24</v>
      </c>
      <c r="H24" s="47">
        <v>302.02999999999997</v>
      </c>
      <c r="I24" s="59">
        <f t="shared" si="6"/>
        <v>0.19235834915355443</v>
      </c>
      <c r="K24" s="40">
        <f t="shared" si="9"/>
        <v>2038</v>
      </c>
      <c r="L24" s="47">
        <v>179.24</v>
      </c>
      <c r="M24" s="47">
        <v>259.13</v>
      </c>
      <c r="N24" s="59">
        <f t="shared" si="7"/>
        <v>0.16503598654491464</v>
      </c>
      <c r="P24" s="40">
        <f t="shared" ref="P24" si="15">P23+1</f>
        <v>2038</v>
      </c>
      <c r="Q24" s="47">
        <v>179.24</v>
      </c>
      <c r="R24" s="47">
        <v>485.53</v>
      </c>
      <c r="S24" s="59">
        <f t="shared" si="10"/>
        <v>0.30922673000869216</v>
      </c>
      <c r="U24" s="40">
        <f t="shared" ref="U24" si="16">U23+1</f>
        <v>2038</v>
      </c>
      <c r="V24" s="47">
        <v>179.24</v>
      </c>
      <c r="W24" s="47">
        <v>431.58</v>
      </c>
      <c r="X24" s="59">
        <f t="shared" si="11"/>
        <v>0.27486678915237239</v>
      </c>
      <c r="Z24" s="40">
        <f t="shared" ref="Z24" si="17">Z23+1</f>
        <v>2038</v>
      </c>
      <c r="AA24" s="47">
        <v>214.6</v>
      </c>
      <c r="AB24" s="47">
        <v>515.5</v>
      </c>
      <c r="AC24" s="59">
        <f t="shared" si="12"/>
        <v>0.2742172971270751</v>
      </c>
      <c r="AE24" s="40">
        <f t="shared" ref="AE24" si="18">AE23+1</f>
        <v>2038</v>
      </c>
      <c r="AF24" s="47">
        <v>214.6</v>
      </c>
      <c r="AG24" s="47">
        <v>413.65</v>
      </c>
      <c r="AH24" s="59">
        <f t="shared" si="13"/>
        <v>0.22003876810206519</v>
      </c>
      <c r="AJ24" s="40">
        <f t="shared" si="5"/>
        <v>2038</v>
      </c>
      <c r="AK24" s="47">
        <f t="shared" si="2"/>
        <v>1325.3999999999999</v>
      </c>
      <c r="AL24" s="47">
        <f t="shared" si="0"/>
        <v>2764.63</v>
      </c>
      <c r="AM24" s="59">
        <f t="shared" si="14"/>
        <v>0.23811455557829364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C2:I23"/>
  <sheetViews>
    <sheetView zoomScaleNormal="100" workbookViewId="0"/>
  </sheetViews>
  <sheetFormatPr defaultRowHeight="15" x14ac:dyDescent="0.25"/>
  <cols>
    <col min="1" max="2" width="9.140625" style="40"/>
    <col min="3" max="3" width="12.7109375" style="40" bestFit="1" customWidth="1"/>
    <col min="4" max="16384" width="9.140625" style="40"/>
  </cols>
  <sheetData>
    <row r="2" spans="3:9" x14ac:dyDescent="0.25">
      <c r="E2" s="40" t="s">
        <v>207</v>
      </c>
      <c r="H2" s="40" t="s">
        <v>207</v>
      </c>
    </row>
    <row r="3" spans="3:9" x14ac:dyDescent="0.25">
      <c r="C3" s="60" t="s">
        <v>203</v>
      </c>
      <c r="D3" s="60" t="s">
        <v>204</v>
      </c>
      <c r="E3" s="60" t="s">
        <v>205</v>
      </c>
      <c r="F3" s="60" t="s">
        <v>208</v>
      </c>
      <c r="H3" s="60" t="s">
        <v>205</v>
      </c>
      <c r="I3" s="60" t="s">
        <v>208</v>
      </c>
    </row>
    <row r="4" spans="3:9" x14ac:dyDescent="0.25">
      <c r="C4" s="61">
        <v>43466</v>
      </c>
      <c r="D4" s="60" t="s">
        <v>206</v>
      </c>
      <c r="E4" s="60">
        <v>43127.77</v>
      </c>
      <c r="F4" s="40">
        <v>41313.019999999997</v>
      </c>
      <c r="H4" s="60">
        <f>E4/1000</f>
        <v>43.127769999999998</v>
      </c>
      <c r="I4" s="60">
        <f t="shared" ref="I4:I21" si="0">F4/1000</f>
        <v>41.313019999999995</v>
      </c>
    </row>
    <row r="5" spans="3:9" x14ac:dyDescent="0.25">
      <c r="C5" s="61">
        <v>43831</v>
      </c>
      <c r="D5" s="60" t="s">
        <v>206</v>
      </c>
      <c r="E5" s="60">
        <v>41561.22</v>
      </c>
      <c r="F5" s="40">
        <v>42301.46</v>
      </c>
      <c r="H5" s="60">
        <f t="shared" ref="H5:H23" si="1">E5/1000</f>
        <v>41.561219999999999</v>
      </c>
      <c r="I5" s="60">
        <f t="shared" si="0"/>
        <v>42.301459999999999</v>
      </c>
    </row>
    <row r="6" spans="3:9" x14ac:dyDescent="0.25">
      <c r="C6" s="61">
        <v>44197</v>
      </c>
      <c r="D6" s="60" t="s">
        <v>206</v>
      </c>
      <c r="E6" s="60">
        <v>38353.910000000003</v>
      </c>
      <c r="F6" s="40">
        <v>37229.339999999997</v>
      </c>
      <c r="H6" s="60">
        <f t="shared" si="1"/>
        <v>38.353910000000006</v>
      </c>
      <c r="I6" s="60">
        <f t="shared" si="0"/>
        <v>37.229339999999993</v>
      </c>
    </row>
    <row r="7" spans="3:9" x14ac:dyDescent="0.25">
      <c r="C7" s="61">
        <v>44562</v>
      </c>
      <c r="D7" s="60" t="s">
        <v>206</v>
      </c>
      <c r="E7" s="60">
        <v>40097.11</v>
      </c>
      <c r="F7" s="40">
        <v>38327.089999999997</v>
      </c>
      <c r="H7" s="60">
        <f t="shared" si="1"/>
        <v>40.097110000000001</v>
      </c>
      <c r="I7" s="60">
        <f t="shared" si="0"/>
        <v>38.327089999999998</v>
      </c>
    </row>
    <row r="8" spans="3:9" x14ac:dyDescent="0.25">
      <c r="C8" s="61">
        <v>44927</v>
      </c>
      <c r="D8" s="60" t="s">
        <v>206</v>
      </c>
      <c r="E8" s="60">
        <v>41662.879999999997</v>
      </c>
      <c r="F8" s="40">
        <v>40007</v>
      </c>
      <c r="H8" s="60">
        <f t="shared" si="1"/>
        <v>41.662879999999994</v>
      </c>
      <c r="I8" s="60">
        <f t="shared" si="0"/>
        <v>40.006999999999998</v>
      </c>
    </row>
    <row r="9" spans="3:9" x14ac:dyDescent="0.25">
      <c r="C9" s="61">
        <v>45292</v>
      </c>
      <c r="D9" s="60" t="s">
        <v>206</v>
      </c>
      <c r="E9" s="60">
        <v>35672.050000000003</v>
      </c>
      <c r="F9" s="40">
        <v>39430.75</v>
      </c>
      <c r="H9" s="60">
        <f t="shared" si="1"/>
        <v>35.672050000000006</v>
      </c>
      <c r="I9" s="60">
        <f t="shared" si="0"/>
        <v>39.430750000000003</v>
      </c>
    </row>
    <row r="10" spans="3:9" x14ac:dyDescent="0.25">
      <c r="C10" s="61">
        <v>45658</v>
      </c>
      <c r="D10" s="60" t="s">
        <v>206</v>
      </c>
      <c r="E10" s="60">
        <v>33477.160000000003</v>
      </c>
      <c r="F10" s="40">
        <v>39658.959999999999</v>
      </c>
      <c r="H10" s="60">
        <f t="shared" si="1"/>
        <v>33.477160000000005</v>
      </c>
      <c r="I10" s="60">
        <f t="shared" si="0"/>
        <v>39.65896</v>
      </c>
    </row>
    <row r="11" spans="3:9" x14ac:dyDescent="0.25">
      <c r="C11" s="61">
        <v>46023</v>
      </c>
      <c r="D11" s="60" t="s">
        <v>206</v>
      </c>
      <c r="E11" s="60">
        <v>32582.02</v>
      </c>
      <c r="F11" s="40">
        <v>38672.46</v>
      </c>
      <c r="H11" s="60">
        <f t="shared" si="1"/>
        <v>32.58202</v>
      </c>
      <c r="I11" s="60">
        <f t="shared" si="0"/>
        <v>38.672460000000001</v>
      </c>
    </row>
    <row r="12" spans="3:9" x14ac:dyDescent="0.25">
      <c r="C12" s="61">
        <v>46388</v>
      </c>
      <c r="D12" s="60" t="s">
        <v>206</v>
      </c>
      <c r="E12" s="60">
        <v>31439.07</v>
      </c>
      <c r="F12" s="40">
        <v>38241.22</v>
      </c>
      <c r="H12" s="60">
        <f t="shared" si="1"/>
        <v>31.439070000000001</v>
      </c>
      <c r="I12" s="60">
        <f t="shared" si="0"/>
        <v>38.241219999999998</v>
      </c>
    </row>
    <row r="13" spans="3:9" x14ac:dyDescent="0.25">
      <c r="C13" s="61">
        <v>46753</v>
      </c>
      <c r="D13" s="60" t="s">
        <v>206</v>
      </c>
      <c r="E13" s="60">
        <v>26379.360000000001</v>
      </c>
      <c r="F13" s="40">
        <v>35968.49</v>
      </c>
      <c r="H13" s="60">
        <f t="shared" si="1"/>
        <v>26.379360000000002</v>
      </c>
      <c r="I13" s="60">
        <f t="shared" si="0"/>
        <v>35.968489999999996</v>
      </c>
    </row>
    <row r="14" spans="3:9" x14ac:dyDescent="0.25">
      <c r="C14" s="61">
        <v>47119</v>
      </c>
      <c r="D14" s="60" t="s">
        <v>206</v>
      </c>
      <c r="E14" s="60">
        <v>25296.19</v>
      </c>
      <c r="F14" s="40">
        <v>37112.79</v>
      </c>
      <c r="H14" s="60">
        <f t="shared" si="1"/>
        <v>25.296189999999999</v>
      </c>
      <c r="I14" s="60">
        <f t="shared" si="0"/>
        <v>37.112790000000004</v>
      </c>
    </row>
    <row r="15" spans="3:9" x14ac:dyDescent="0.25">
      <c r="C15" s="61">
        <v>47484</v>
      </c>
      <c r="D15" s="60" t="s">
        <v>206</v>
      </c>
      <c r="E15" s="60">
        <v>23629.09</v>
      </c>
      <c r="F15" s="40">
        <v>35744.160000000003</v>
      </c>
      <c r="H15" s="60">
        <f t="shared" si="1"/>
        <v>23.629090000000001</v>
      </c>
      <c r="I15" s="60">
        <f t="shared" si="0"/>
        <v>35.744160000000001</v>
      </c>
    </row>
    <row r="16" spans="3:9" x14ac:dyDescent="0.25">
      <c r="C16" s="61">
        <v>47849</v>
      </c>
      <c r="D16" s="60" t="s">
        <v>206</v>
      </c>
      <c r="E16" s="60">
        <v>23519.47</v>
      </c>
      <c r="F16" s="40">
        <v>35290.93</v>
      </c>
      <c r="H16" s="60">
        <f t="shared" si="1"/>
        <v>23.519470000000002</v>
      </c>
      <c r="I16" s="60">
        <f t="shared" si="0"/>
        <v>35.290930000000003</v>
      </c>
    </row>
    <row r="17" spans="3:9" x14ac:dyDescent="0.25">
      <c r="C17" s="61">
        <v>48214</v>
      </c>
      <c r="D17" s="60" t="s">
        <v>206</v>
      </c>
      <c r="E17" s="60">
        <v>23051.3</v>
      </c>
      <c r="F17" s="40">
        <v>35405.54</v>
      </c>
      <c r="H17" s="60">
        <f t="shared" si="1"/>
        <v>23.051299999999998</v>
      </c>
      <c r="I17" s="60">
        <f t="shared" si="0"/>
        <v>35.405540000000002</v>
      </c>
    </row>
    <row r="18" spans="3:9" x14ac:dyDescent="0.25">
      <c r="C18" s="61">
        <v>48580</v>
      </c>
      <c r="D18" s="60" t="s">
        <v>206</v>
      </c>
      <c r="E18" s="60">
        <v>22914.7</v>
      </c>
      <c r="F18" s="40">
        <v>33968.04</v>
      </c>
      <c r="H18" s="60">
        <f t="shared" si="1"/>
        <v>22.9147</v>
      </c>
      <c r="I18" s="60">
        <f t="shared" si="0"/>
        <v>33.968040000000002</v>
      </c>
    </row>
    <row r="19" spans="3:9" x14ac:dyDescent="0.25">
      <c r="C19" s="61">
        <v>48945</v>
      </c>
      <c r="D19" s="60" t="s">
        <v>206</v>
      </c>
      <c r="E19" s="60">
        <v>22604.92</v>
      </c>
      <c r="F19" s="40">
        <v>34471.699999999997</v>
      </c>
      <c r="H19" s="60">
        <f t="shared" si="1"/>
        <v>22.60492</v>
      </c>
      <c r="I19" s="60">
        <f t="shared" si="0"/>
        <v>34.471699999999998</v>
      </c>
    </row>
    <row r="20" spans="3:9" x14ac:dyDescent="0.25">
      <c r="C20" s="61">
        <v>49310</v>
      </c>
      <c r="D20" s="60" t="s">
        <v>206</v>
      </c>
      <c r="E20" s="60">
        <v>21771.91</v>
      </c>
      <c r="F20" s="40">
        <v>33268.75</v>
      </c>
      <c r="H20" s="60">
        <f t="shared" si="1"/>
        <v>21.771909999999998</v>
      </c>
      <c r="I20" s="60">
        <f t="shared" si="0"/>
        <v>33.268749999999997</v>
      </c>
    </row>
    <row r="21" spans="3:9" x14ac:dyDescent="0.25">
      <c r="C21" s="61">
        <v>49675</v>
      </c>
      <c r="D21" s="60" t="s">
        <v>206</v>
      </c>
      <c r="E21" s="60">
        <v>22092.01</v>
      </c>
      <c r="F21" s="40">
        <v>33100.15</v>
      </c>
      <c r="H21" s="60">
        <f t="shared" si="1"/>
        <v>22.092009999999998</v>
      </c>
      <c r="I21" s="60">
        <f t="shared" si="0"/>
        <v>33.100149999999999</v>
      </c>
    </row>
    <row r="22" spans="3:9" x14ac:dyDescent="0.25">
      <c r="C22" s="61">
        <v>50041</v>
      </c>
      <c r="D22" s="60" t="s">
        <v>206</v>
      </c>
      <c r="E22" s="60">
        <v>19740.11</v>
      </c>
      <c r="H22" s="60">
        <f t="shared" si="1"/>
        <v>19.740110000000001</v>
      </c>
    </row>
    <row r="23" spans="3:9" x14ac:dyDescent="0.25">
      <c r="C23" s="61">
        <v>50406</v>
      </c>
      <c r="D23" s="60" t="s">
        <v>206</v>
      </c>
      <c r="E23" s="60">
        <v>16668.98</v>
      </c>
      <c r="H23" s="60">
        <f t="shared" si="1"/>
        <v>16.668980000000001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Port P45CNW</vt:lpstr>
      <vt:lpstr>Port 2017 IRP</vt:lpstr>
      <vt:lpstr>Port Graphs</vt:lpstr>
      <vt:lpstr>Gas CF</vt:lpstr>
      <vt:lpstr>Emissions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2019-10-18T21:34:32Z</dcterms:created>
  <dcterms:modified xsi:type="dcterms:W3CDTF">2019-10-28T14:15:42Z</dcterms:modified>
</cp:coreProperties>
</file>